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argos.rodrigues\Google Drive\Computador Argos Rodrigues\Documents\MENINOS DO LAGO 2018\"/>
    </mc:Choice>
  </mc:AlternateContent>
  <xr:revisionPtr revIDLastSave="0" documentId="13_ncr:1_{244DC99A-AFD0-44A4-9E8E-C955149A84B2}" xr6:coauthVersionLast="40" xr6:coauthVersionMax="40" xr10:uidLastSave="{00000000-0000-0000-0000-000000000000}"/>
  <bookViews>
    <workbookView xWindow="0" yWindow="0" windowWidth="11265" windowHeight="5325" xr2:uid="{897B982B-FF43-45EA-B702-4F166135F1F4}"/>
  </bookViews>
  <sheets>
    <sheet name="EQUIPAMENTOS" sheetId="3" r:id="rId1"/>
    <sheet name="BUS" sheetId="5" r:id="rId2"/>
    <sheet name="PIER" sheetId="4" r:id="rId3"/>
  </sheets>
  <definedNames>
    <definedName name="_xlnm.Print_Area" localSheetId="1">BUS!$B$1:$K$8</definedName>
    <definedName name="_xlnm.Print_Area" localSheetId="0">EQUIPAMENTOS!$A$1:$AD$55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5" i="3" l="1"/>
  <c r="K7" i="4" l="1"/>
  <c r="J7" i="5"/>
  <c r="E25" i="3"/>
  <c r="E22" i="3"/>
  <c r="E23" i="3"/>
  <c r="E14" i="3"/>
  <c r="E13" i="3"/>
  <c r="E11" i="3"/>
  <c r="H23" i="3" l="1"/>
  <c r="H22" i="3"/>
  <c r="F36" i="3" l="1"/>
  <c r="F34" i="3"/>
  <c r="G36" i="3" l="1"/>
  <c r="G34" i="3"/>
  <c r="R25" i="3" l="1"/>
  <c r="T25" i="3" s="1"/>
  <c r="W25" i="3" s="1"/>
  <c r="R26" i="3"/>
  <c r="T26" i="3"/>
  <c r="AA26" i="3" s="1"/>
  <c r="R14" i="3"/>
  <c r="T14" i="3"/>
  <c r="Y14" i="3"/>
  <c r="R31" i="3"/>
  <c r="R11" i="3"/>
  <c r="T11" i="3" s="1"/>
  <c r="V28" i="3"/>
  <c r="S26" i="3"/>
  <c r="K26" i="3"/>
  <c r="J26" i="3"/>
  <c r="E26" i="3"/>
  <c r="K28" i="3"/>
  <c r="K23" i="3"/>
  <c r="K22" i="3"/>
  <c r="K14" i="3"/>
  <c r="K13" i="3"/>
  <c r="J29" i="3"/>
  <c r="J28" i="3"/>
  <c r="J27" i="3"/>
  <c r="I27" i="3"/>
  <c r="H15" i="3"/>
  <c r="H14" i="3"/>
  <c r="H13" i="3"/>
  <c r="H12" i="3"/>
  <c r="H11" i="3"/>
  <c r="G21" i="3"/>
  <c r="G20" i="3"/>
  <c r="G12" i="3"/>
  <c r="G11" i="3"/>
  <c r="F27" i="3"/>
  <c r="F25" i="3"/>
  <c r="F19" i="3"/>
  <c r="F12" i="3"/>
  <c r="F11" i="3"/>
  <c r="E31" i="3"/>
  <c r="E30" i="3"/>
  <c r="E29" i="3"/>
  <c r="E28" i="3"/>
  <c r="E24" i="3"/>
  <c r="E21" i="3"/>
  <c r="E20" i="3"/>
  <c r="E19" i="3"/>
  <c r="E18" i="3"/>
  <c r="E17" i="3"/>
  <c r="E16" i="3"/>
  <c r="E15" i="3"/>
  <c r="E12" i="3"/>
  <c r="S31" i="3"/>
  <c r="S30" i="3"/>
  <c r="S29" i="3"/>
  <c r="S28" i="3"/>
  <c r="S27" i="3"/>
  <c r="S25" i="3"/>
  <c r="S24" i="3"/>
  <c r="S23" i="3"/>
  <c r="S22" i="3"/>
  <c r="S21" i="3"/>
  <c r="T21" i="3" s="1"/>
  <c r="S20" i="3"/>
  <c r="T20" i="3" s="1"/>
  <c r="S19" i="3"/>
  <c r="S18" i="3"/>
  <c r="S17" i="3"/>
  <c r="S16" i="3"/>
  <c r="S15" i="3"/>
  <c r="S14" i="3"/>
  <c r="S13" i="3"/>
  <c r="S12" i="3"/>
  <c r="S11" i="3"/>
  <c r="U32" i="3"/>
  <c r="R30" i="3"/>
  <c r="R29" i="3"/>
  <c r="R28" i="3"/>
  <c r="R27" i="3"/>
  <c r="R24" i="3"/>
  <c r="R23" i="3"/>
  <c r="R22" i="3"/>
  <c r="R21" i="3"/>
  <c r="R20" i="3"/>
  <c r="R19" i="3"/>
  <c r="R18" i="3"/>
  <c r="R17" i="3"/>
  <c r="R16" i="3"/>
  <c r="R15" i="3"/>
  <c r="R13" i="3"/>
  <c r="R12" i="3"/>
  <c r="T12" i="3"/>
  <c r="V12" i="3"/>
  <c r="W15" i="3"/>
  <c r="W19" i="3"/>
  <c r="W18" i="3"/>
  <c r="T22" i="3"/>
  <c r="T23" i="3"/>
  <c r="W23" i="3" s="1"/>
  <c r="T27" i="3"/>
  <c r="Y27" i="3"/>
  <c r="W31" i="3"/>
  <c r="Y26" i="3" l="1"/>
  <c r="T13" i="3"/>
  <c r="AD13" i="3" s="1"/>
  <c r="Y11" i="3"/>
  <c r="V11" i="3"/>
  <c r="AB20" i="3"/>
  <c r="AC20" i="3"/>
  <c r="AD20" i="3"/>
  <c r="Z20" i="3"/>
  <c r="Y20" i="3"/>
  <c r="W20" i="3"/>
  <c r="AA20" i="3"/>
  <c r="V24" i="3"/>
  <c r="Z13" i="3"/>
  <c r="AB13" i="3"/>
  <c r="AC13" i="3"/>
  <c r="Y13" i="3"/>
  <c r="V13" i="3"/>
  <c r="AC21" i="3"/>
  <c r="AD21" i="3"/>
  <c r="Z21" i="3"/>
  <c r="AB21" i="3"/>
  <c r="AA21" i="3"/>
  <c r="Y21" i="3"/>
  <c r="W21" i="3"/>
  <c r="AB29" i="3"/>
  <c r="AC29" i="3"/>
  <c r="AD29" i="3"/>
  <c r="Z29" i="3"/>
  <c r="AD22" i="3"/>
  <c r="Z22" i="3"/>
  <c r="AB22" i="3"/>
  <c r="AC22" i="3"/>
  <c r="AD12" i="3"/>
  <c r="Z12" i="3"/>
  <c r="AB12" i="3"/>
  <c r="AC12" i="3"/>
  <c r="AC25" i="3"/>
  <c r="AD25" i="3"/>
  <c r="Z25" i="3"/>
  <c r="AB25" i="3"/>
  <c r="W30" i="3"/>
  <c r="Y29" i="3"/>
  <c r="AD27" i="3"/>
  <c r="Z27" i="3"/>
  <c r="AB27" i="3"/>
  <c r="AC27" i="3"/>
  <c r="AD23" i="3"/>
  <c r="Z23" i="3"/>
  <c r="AB23" i="3"/>
  <c r="AC23" i="3"/>
  <c r="V17" i="3"/>
  <c r="V16" i="3"/>
  <c r="Y12" i="3"/>
  <c r="V22" i="3"/>
  <c r="AC11" i="3"/>
  <c r="AD11" i="3"/>
  <c r="Z11" i="3"/>
  <c r="AB11" i="3"/>
  <c r="AB14" i="3"/>
  <c r="AC14" i="3"/>
  <c r="AD14" i="3"/>
  <c r="Z14" i="3"/>
  <c r="AA25" i="3"/>
  <c r="AD26" i="3"/>
  <c r="Z26" i="3"/>
  <c r="AB26" i="3"/>
  <c r="AC26" i="3"/>
  <c r="AA29" i="3"/>
  <c r="W27" i="3"/>
  <c r="Y23" i="3"/>
  <c r="Y22" i="3"/>
  <c r="AA12" i="3"/>
  <c r="AA11" i="3"/>
  <c r="T32" i="3"/>
  <c r="W29" i="3"/>
  <c r="AA27" i="3"/>
  <c r="AA23" i="3"/>
  <c r="AA22" i="3"/>
  <c r="V14" i="3"/>
  <c r="W26" i="3"/>
  <c r="AA14" i="3"/>
  <c r="Y25" i="3"/>
  <c r="W32" i="3" l="1"/>
  <c r="AA13" i="3"/>
  <c r="V32" i="3"/>
  <c r="Y32" i="3"/>
  <c r="AC32" i="3"/>
  <c r="AB32" i="3"/>
  <c r="AA32" i="3"/>
  <c r="Z32" i="3"/>
  <c r="AD32" i="3"/>
  <c r="G35" i="3" l="1"/>
  <c r="G47" i="3" s="1"/>
  <c r="L37" i="3" s="1"/>
  <c r="L39"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argos.rodrigues</author>
  </authors>
  <commentList>
    <comment ref="E11" authorId="0" shapeId="0" xr:uid="{9CA8B31C-65F9-402A-B0AE-0405BE5B3569}">
      <text>
        <r>
          <rPr>
            <b/>
            <sz val="9"/>
            <color indexed="81"/>
            <rFont val="Segoe UI"/>
            <family val="2"/>
          </rPr>
          <t>argos.rodrigues:</t>
        </r>
        <r>
          <rPr>
            <sz val="9"/>
            <color indexed="81"/>
            <rFont val="Segoe UI"/>
            <family val="2"/>
          </rPr>
          <t xml:space="preserve">
EURO 749,00</t>
        </r>
      </text>
    </comment>
    <comment ref="E12" authorId="0" shapeId="0" xr:uid="{CCC1B72C-05AB-4700-B9E1-67AD05A9FD50}">
      <text>
        <r>
          <rPr>
            <b/>
            <sz val="9"/>
            <color indexed="81"/>
            <rFont val="Segoe UI"/>
            <family val="2"/>
          </rPr>
          <t>argos.rodrigues:</t>
        </r>
        <r>
          <rPr>
            <sz val="9"/>
            <color indexed="81"/>
            <rFont val="Segoe UI"/>
            <family val="2"/>
          </rPr>
          <t xml:space="preserve">
EURO 760,00</t>
        </r>
      </text>
    </comment>
    <comment ref="E13" authorId="0" shapeId="0" xr:uid="{8F7EA063-1964-456E-A7C7-3748067C08AA}">
      <text>
        <r>
          <rPr>
            <b/>
            <sz val="9"/>
            <color indexed="81"/>
            <rFont val="Segoe UI"/>
            <family val="2"/>
          </rPr>
          <t>argos.rodrigues:</t>
        </r>
        <r>
          <rPr>
            <sz val="9"/>
            <color indexed="81"/>
            <rFont val="Segoe UI"/>
            <family val="2"/>
          </rPr>
          <t xml:space="preserve">
EURO 124,60</t>
        </r>
      </text>
    </comment>
    <comment ref="E14" authorId="0" shapeId="0" xr:uid="{B41F73C0-64C6-4CC7-BC38-E78DA99AE74C}">
      <text>
        <r>
          <rPr>
            <b/>
            <sz val="9"/>
            <color indexed="81"/>
            <rFont val="Segoe UI"/>
            <family val="2"/>
          </rPr>
          <t>argos.rodrigues:</t>
        </r>
        <r>
          <rPr>
            <sz val="9"/>
            <color indexed="81"/>
            <rFont val="Segoe UI"/>
            <family val="2"/>
          </rPr>
          <t xml:space="preserve">
EURO 173,00</t>
        </r>
      </text>
    </comment>
    <comment ref="D15" authorId="0" shapeId="0" xr:uid="{9AF4C241-06AE-4256-B2EC-07F48E0CD39F}">
      <text>
        <r>
          <rPr>
            <b/>
            <sz val="9"/>
            <color indexed="81"/>
            <rFont val="Segoe UI"/>
            <charset val="1"/>
          </rPr>
          <t>argos.rodrigues:</t>
        </r>
        <r>
          <rPr>
            <sz val="9"/>
            <color indexed="81"/>
            <rFont val="Segoe UI"/>
            <charset val="1"/>
          </rPr>
          <t xml:space="preserve">
110</t>
        </r>
      </text>
    </comment>
    <comment ref="E15" authorId="0" shapeId="0" xr:uid="{0D063979-2CA4-4006-A4F0-EF7F6A1962C5}">
      <text>
        <r>
          <rPr>
            <b/>
            <sz val="9"/>
            <color indexed="81"/>
            <rFont val="Segoe UI"/>
            <family val="2"/>
          </rPr>
          <t>argos.rodrigues:</t>
        </r>
        <r>
          <rPr>
            <sz val="9"/>
            <color indexed="81"/>
            <rFont val="Segoe UI"/>
            <family val="2"/>
          </rPr>
          <t xml:space="preserve">
EURO 27,00</t>
        </r>
      </text>
    </comment>
    <comment ref="D16" authorId="0" shapeId="0" xr:uid="{B1DD2293-AF12-426B-9BE1-803737834720}">
      <text>
        <r>
          <rPr>
            <b/>
            <sz val="9"/>
            <color indexed="81"/>
            <rFont val="Segoe UI"/>
            <charset val="1"/>
          </rPr>
          <t>argos.rodrigues:</t>
        </r>
        <r>
          <rPr>
            <sz val="9"/>
            <color indexed="81"/>
            <rFont val="Segoe UI"/>
            <charset val="1"/>
          </rPr>
          <t xml:space="preserve">
55</t>
        </r>
      </text>
    </comment>
    <comment ref="E16" authorId="0" shapeId="0" xr:uid="{3D35FE0D-AA1F-4FC6-89B9-4245F8AFE65B}">
      <text>
        <r>
          <rPr>
            <b/>
            <sz val="9"/>
            <color indexed="81"/>
            <rFont val="Segoe UI"/>
            <family val="2"/>
          </rPr>
          <t>argos.rodrigues:</t>
        </r>
        <r>
          <rPr>
            <sz val="9"/>
            <color indexed="81"/>
            <rFont val="Segoe UI"/>
            <family val="2"/>
          </rPr>
          <t xml:space="preserve">
EURO 40,00</t>
        </r>
      </text>
    </comment>
    <comment ref="D17" authorId="0" shapeId="0" xr:uid="{66AFDD9A-18A7-4491-99BA-94C89BEE5039}">
      <text>
        <r>
          <rPr>
            <b/>
            <sz val="9"/>
            <color indexed="81"/>
            <rFont val="Segoe UI"/>
            <charset val="1"/>
          </rPr>
          <t>argos.rodrigues:</t>
        </r>
        <r>
          <rPr>
            <sz val="9"/>
            <color indexed="81"/>
            <rFont val="Segoe UI"/>
            <charset val="1"/>
          </rPr>
          <t xml:space="preserve">
55</t>
        </r>
      </text>
    </comment>
    <comment ref="E17" authorId="0" shapeId="0" xr:uid="{7B8C91C9-4A0D-4C70-BB56-1B0EAADB623D}">
      <text>
        <r>
          <rPr>
            <b/>
            <sz val="9"/>
            <color indexed="81"/>
            <rFont val="Segoe UI"/>
            <family val="2"/>
          </rPr>
          <t>argos.rodrigues:</t>
        </r>
        <r>
          <rPr>
            <sz val="9"/>
            <color indexed="81"/>
            <rFont val="Segoe UI"/>
            <family val="2"/>
          </rPr>
          <t xml:space="preserve">
EURO 40,00</t>
        </r>
      </text>
    </comment>
    <comment ref="D18" authorId="0" shapeId="0" xr:uid="{3396CD93-0DA3-480E-9905-7AA4D137382E}">
      <text>
        <r>
          <rPr>
            <b/>
            <sz val="9"/>
            <color indexed="81"/>
            <rFont val="Segoe UI"/>
            <charset val="1"/>
          </rPr>
          <t>argos.rodrigues:</t>
        </r>
        <r>
          <rPr>
            <sz val="9"/>
            <color indexed="81"/>
            <rFont val="Segoe UI"/>
            <charset val="1"/>
          </rPr>
          <t xml:space="preserve">
90</t>
        </r>
      </text>
    </comment>
    <comment ref="E18" authorId="0" shapeId="0" xr:uid="{588EFEF4-76E5-4DD8-9A30-4438FDD49C82}">
      <text>
        <r>
          <rPr>
            <b/>
            <sz val="9"/>
            <color indexed="81"/>
            <rFont val="Segoe UI"/>
            <family val="2"/>
          </rPr>
          <t>argos.rodrigues:</t>
        </r>
        <r>
          <rPr>
            <sz val="9"/>
            <color indexed="81"/>
            <rFont val="Segoe UI"/>
            <family val="2"/>
          </rPr>
          <t xml:space="preserve">
EURO 30,00</t>
        </r>
      </text>
    </comment>
    <comment ref="E19" authorId="0" shapeId="0" xr:uid="{C12C7C02-C6CC-4421-A235-E8B30A11BCB3}">
      <text>
        <r>
          <rPr>
            <b/>
            <sz val="9"/>
            <color indexed="81"/>
            <rFont val="Segoe UI"/>
            <family val="2"/>
          </rPr>
          <t>argos.rodrigues:</t>
        </r>
        <r>
          <rPr>
            <sz val="9"/>
            <color indexed="81"/>
            <rFont val="Segoe UI"/>
            <family val="2"/>
          </rPr>
          <t xml:space="preserve">
EURO 300,00</t>
        </r>
      </text>
    </comment>
    <comment ref="E20" authorId="0" shapeId="0" xr:uid="{20896813-B549-4BD8-83FA-6FD9EF94F756}">
      <text>
        <r>
          <rPr>
            <b/>
            <sz val="9"/>
            <color indexed="81"/>
            <rFont val="Segoe UI"/>
            <family val="2"/>
          </rPr>
          <t>argos.rodrigues:</t>
        </r>
        <r>
          <rPr>
            <sz val="9"/>
            <color indexed="81"/>
            <rFont val="Segoe UI"/>
            <family val="2"/>
          </rPr>
          <t xml:space="preserve">
EURO 800,00</t>
        </r>
      </text>
    </comment>
    <comment ref="O20" authorId="0" shapeId="0" xr:uid="{AF312908-5397-4822-A104-EF423E669668}">
      <text>
        <r>
          <rPr>
            <b/>
            <sz val="9"/>
            <color indexed="81"/>
            <rFont val="Segoe UI"/>
            <charset val="1"/>
          </rPr>
          <t>argos.rodrigues:</t>
        </r>
        <r>
          <rPr>
            <sz val="9"/>
            <color indexed="81"/>
            <rFont val="Segoe UI"/>
            <charset val="1"/>
          </rPr>
          <t xml:space="preserve">
Fibra de Vidro</t>
        </r>
      </text>
    </comment>
    <comment ref="E21" authorId="0" shapeId="0" xr:uid="{1A16DFA1-AFF1-4239-9DDA-2824227A22EA}">
      <text>
        <r>
          <rPr>
            <b/>
            <sz val="9"/>
            <color indexed="81"/>
            <rFont val="Segoe UI"/>
            <family val="2"/>
          </rPr>
          <t>argos.rodrigues:</t>
        </r>
        <r>
          <rPr>
            <sz val="9"/>
            <color indexed="81"/>
            <rFont val="Segoe UI"/>
            <family val="2"/>
          </rPr>
          <t xml:space="preserve">
EURO 1.350,00</t>
        </r>
      </text>
    </comment>
    <comment ref="O21" authorId="0" shapeId="0" xr:uid="{3C13DB73-75DD-4639-A278-32C6AA9A8C46}">
      <text>
        <r>
          <rPr>
            <b/>
            <sz val="9"/>
            <color indexed="81"/>
            <rFont val="Segoe UI"/>
            <charset val="1"/>
          </rPr>
          <t>argos.rodrigues:</t>
        </r>
        <r>
          <rPr>
            <sz val="9"/>
            <color indexed="81"/>
            <rFont val="Segoe UI"/>
            <charset val="1"/>
          </rPr>
          <t xml:space="preserve">
Fibra de vidro</t>
        </r>
      </text>
    </comment>
    <comment ref="E22" authorId="0" shapeId="0" xr:uid="{E55D0072-D71D-4AB0-BE0F-2721003D05AC}">
      <text>
        <r>
          <rPr>
            <b/>
            <sz val="9"/>
            <color indexed="81"/>
            <rFont val="Segoe UI"/>
            <family val="2"/>
          </rPr>
          <t>argos.rodrigues:</t>
        </r>
        <r>
          <rPr>
            <sz val="9"/>
            <color indexed="81"/>
            <rFont val="Segoe UI"/>
            <family val="2"/>
          </rPr>
          <t xml:space="preserve">
EURO 119,00</t>
        </r>
      </text>
    </comment>
    <comment ref="E23" authorId="0" shapeId="0" xr:uid="{A6FA553C-1C6B-4E21-9EF1-6D8129EA9E88}">
      <text>
        <r>
          <rPr>
            <b/>
            <sz val="9"/>
            <color indexed="81"/>
            <rFont val="Segoe UI"/>
            <family val="2"/>
          </rPr>
          <t>argos.rodrigues:</t>
        </r>
        <r>
          <rPr>
            <sz val="9"/>
            <color indexed="81"/>
            <rFont val="Segoe UI"/>
            <family val="2"/>
          </rPr>
          <t xml:space="preserve">
EURO 182,00</t>
        </r>
      </text>
    </comment>
    <comment ref="E24" authorId="0" shapeId="0" xr:uid="{92962001-6251-4443-A568-A7998EBDC131}">
      <text>
        <r>
          <rPr>
            <b/>
            <sz val="9"/>
            <color indexed="81"/>
            <rFont val="Segoe UI"/>
            <family val="2"/>
          </rPr>
          <t>argos.rodrigues:</t>
        </r>
        <r>
          <rPr>
            <sz val="9"/>
            <color indexed="81"/>
            <rFont val="Segoe UI"/>
            <family val="2"/>
          </rPr>
          <t xml:space="preserve">
EURO 30,00</t>
        </r>
      </text>
    </comment>
    <comment ref="E25" authorId="0" shapeId="0" xr:uid="{840A8984-D4D3-49AD-AED1-A2989A820106}">
      <text>
        <r>
          <rPr>
            <b/>
            <sz val="9"/>
            <color indexed="81"/>
            <rFont val="Segoe UI"/>
            <family val="2"/>
          </rPr>
          <t>argos.rodrigues:</t>
        </r>
        <r>
          <rPr>
            <sz val="9"/>
            <color indexed="81"/>
            <rFont val="Segoe UI"/>
            <family val="2"/>
          </rPr>
          <t xml:space="preserve">
EURO 730,00</t>
        </r>
      </text>
    </comment>
    <comment ref="O25" authorId="0" shapeId="0" xr:uid="{62A28768-34FF-4FA7-A4FA-FF38B421359C}">
      <text>
        <r>
          <rPr>
            <b/>
            <sz val="9"/>
            <color indexed="81"/>
            <rFont val="Segoe UI"/>
            <charset val="1"/>
          </rPr>
          <t>argos.rodrigues:</t>
        </r>
        <r>
          <rPr>
            <sz val="9"/>
            <color indexed="81"/>
            <rFont val="Segoe UI"/>
            <charset val="1"/>
          </rPr>
          <t xml:space="preserve">
Fibra de vidro</t>
        </r>
      </text>
    </comment>
    <comment ref="E26" authorId="0" shapeId="0" xr:uid="{D41E3B30-CFB1-43D9-B63F-210ECAFB7B85}">
      <text>
        <r>
          <rPr>
            <b/>
            <sz val="9"/>
            <color indexed="81"/>
            <rFont val="Segoe UI"/>
            <family val="2"/>
          </rPr>
          <t>argos.rodrigues:</t>
        </r>
        <r>
          <rPr>
            <sz val="9"/>
            <color indexed="81"/>
            <rFont val="Segoe UI"/>
            <family val="2"/>
          </rPr>
          <t xml:space="preserve">
EURO 180,00</t>
        </r>
      </text>
    </comment>
    <comment ref="E28" authorId="0" shapeId="0" xr:uid="{71F5870C-F7BA-4C2B-A9F0-C9F7561E01B1}">
      <text>
        <r>
          <rPr>
            <b/>
            <sz val="9"/>
            <color indexed="81"/>
            <rFont val="Segoe UI"/>
            <family val="2"/>
          </rPr>
          <t>argos.rodrigues:</t>
        </r>
        <r>
          <rPr>
            <sz val="9"/>
            <color indexed="81"/>
            <rFont val="Segoe UI"/>
            <family val="2"/>
          </rPr>
          <t xml:space="preserve">
EURO 180,00</t>
        </r>
      </text>
    </comment>
    <comment ref="E29" authorId="0" shapeId="0" xr:uid="{AF542289-1B7D-4F79-9CFF-AE184CF83A6E}">
      <text>
        <r>
          <rPr>
            <b/>
            <sz val="9"/>
            <color indexed="81"/>
            <rFont val="Segoe UI"/>
            <family val="2"/>
          </rPr>
          <t>argos.rodrigues:</t>
        </r>
        <r>
          <rPr>
            <sz val="9"/>
            <color indexed="81"/>
            <rFont val="Segoe UI"/>
            <family val="2"/>
          </rPr>
          <t xml:space="preserve">
EURO 70,00</t>
        </r>
      </text>
    </comment>
    <comment ref="L29" authorId="0" shapeId="0" xr:uid="{9B0B3317-A324-4039-8752-A7DC14D57658}">
      <text>
        <r>
          <rPr>
            <b/>
            <sz val="9"/>
            <color indexed="81"/>
            <rFont val="Segoe UI"/>
            <charset val="1"/>
          </rPr>
          <t>argos.rodrigues:</t>
        </r>
        <r>
          <rPr>
            <sz val="9"/>
            <color indexed="81"/>
            <rFont val="Segoe UI"/>
            <charset val="1"/>
          </rPr>
          <t xml:space="preserve">
sem grade protetora</t>
        </r>
      </text>
    </comment>
    <comment ref="P29" authorId="0" shapeId="0" xr:uid="{3680A1F2-E5AD-49CE-88CF-FCA6D656391E}">
      <text>
        <r>
          <rPr>
            <b/>
            <sz val="9"/>
            <color indexed="81"/>
            <rFont val="Segoe UI"/>
            <charset val="1"/>
          </rPr>
          <t>argos.rodrigues:</t>
        </r>
        <r>
          <rPr>
            <sz val="9"/>
            <color indexed="81"/>
            <rFont val="Segoe UI"/>
            <charset val="1"/>
          </rPr>
          <t xml:space="preserve">
sem grade protetora</t>
        </r>
      </text>
    </comment>
    <comment ref="E30" authorId="0" shapeId="0" xr:uid="{6379E71A-5A7D-4EB2-80B8-9A64BA83EE03}">
      <text>
        <r>
          <rPr>
            <b/>
            <sz val="9"/>
            <color indexed="81"/>
            <rFont val="Segoe UI"/>
            <family val="2"/>
          </rPr>
          <t>argos.rodrigues:</t>
        </r>
        <r>
          <rPr>
            <sz val="9"/>
            <color indexed="81"/>
            <rFont val="Segoe UI"/>
            <family val="2"/>
          </rPr>
          <t xml:space="preserve">
EURO 48,00</t>
        </r>
      </text>
    </comment>
    <comment ref="E31" authorId="0" shapeId="0" xr:uid="{B8D00DE0-DEC9-44DB-9B58-D4E75F4E41BA}">
      <text>
        <r>
          <rPr>
            <b/>
            <sz val="9"/>
            <color indexed="81"/>
            <rFont val="Segoe UI"/>
            <family val="2"/>
          </rPr>
          <t>argos.rodrigues:</t>
        </r>
        <r>
          <rPr>
            <sz val="9"/>
            <color indexed="81"/>
            <rFont val="Segoe UI"/>
            <family val="2"/>
          </rPr>
          <t xml:space="preserve">
EURO 50,00</t>
        </r>
      </text>
    </comment>
    <comment ref="G49" authorId="0" shapeId="0" xr:uid="{153E9981-FAC6-4CD6-B885-CC4D1EE55040}">
      <text>
        <r>
          <rPr>
            <b/>
            <sz val="9"/>
            <color indexed="81"/>
            <rFont val="Segoe UI"/>
            <charset val="1"/>
          </rPr>
          <t>argos.rodrigues:</t>
        </r>
        <r>
          <rPr>
            <sz val="9"/>
            <color indexed="81"/>
            <rFont val="Segoe UI"/>
            <charset val="1"/>
          </rPr>
          <t xml:space="preserve">
VLR PREVISTO DAS DESPESAS NO PROJETO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argos.rodrigues</author>
  </authors>
  <commentList>
    <comment ref="E7" authorId="0" shapeId="0" xr:uid="{13AFB130-C54B-4BF1-81CF-8A7B3148D114}">
      <text>
        <r>
          <rPr>
            <b/>
            <sz val="9"/>
            <color indexed="81"/>
            <rFont val="Segoe UI"/>
            <charset val="1"/>
          </rPr>
          <t>argos.rodrigues:</t>
        </r>
        <r>
          <rPr>
            <sz val="9"/>
            <color indexed="81"/>
            <rFont val="Segoe UI"/>
            <charset val="1"/>
          </rPr>
          <t xml:space="preserve">
entrega FOZ DO IGUAÇU</t>
        </r>
      </text>
    </comment>
    <comment ref="F7" authorId="0" shapeId="0" xr:uid="{80B3E1F4-F65B-44F2-AA19-8A7B0A0CAE84}">
      <text>
        <r>
          <rPr>
            <b/>
            <sz val="9"/>
            <color indexed="81"/>
            <rFont val="Segoe UI"/>
            <family val="2"/>
          </rPr>
          <t>argos.rodrigues:</t>
        </r>
        <r>
          <rPr>
            <sz val="9"/>
            <color indexed="81"/>
            <rFont val="Segoe UI"/>
            <family val="2"/>
          </rPr>
          <t xml:space="preserve">
ENTREGA FOB FÁBRICA EM SÃO PAULO</t>
        </r>
      </text>
    </comment>
    <comment ref="G7" authorId="0" shapeId="0" xr:uid="{477D9424-7073-42FD-949B-634F36AE981A}">
      <text>
        <r>
          <rPr>
            <b/>
            <sz val="9"/>
            <color indexed="81"/>
            <rFont val="Segoe UI"/>
            <family val="2"/>
          </rPr>
          <t>argos.rodrigues:</t>
        </r>
        <r>
          <rPr>
            <sz val="9"/>
            <color indexed="81"/>
            <rFont val="Segoe UI"/>
            <family val="2"/>
          </rPr>
          <t xml:space="preserve">
ENTREGA FOB FÁBRICA EM SÃO PAULO</t>
        </r>
      </text>
    </comment>
    <comment ref="H7" authorId="0" shapeId="0" xr:uid="{8C313D01-C00A-4332-9B12-026B405F6D40}">
      <text>
        <r>
          <rPr>
            <b/>
            <sz val="9"/>
            <color indexed="81"/>
            <rFont val="Segoe UI"/>
            <family val="2"/>
          </rPr>
          <t>argos.rodrigues:</t>
        </r>
        <r>
          <rPr>
            <sz val="9"/>
            <color indexed="81"/>
            <rFont val="Segoe UI"/>
            <family val="2"/>
          </rPr>
          <t xml:space="preserve">
CUSTO: US$ 4.639,00 X 3,92 = R$ 18.184,88
CONTAINER: US$ 1.400,00 X 3,92 = 5.488,00
IMPOSTOS E DESPESAS NACIONAIS (94,98%) =R$ 22.484,50
TOTAL APROXIMADO= R$ 46.157,38 </t>
        </r>
      </text>
    </comment>
  </commentList>
</comments>
</file>

<file path=xl/sharedStrings.xml><?xml version="1.0" encoding="utf-8"?>
<sst xmlns="http://schemas.openxmlformats.org/spreadsheetml/2006/main" count="162" uniqueCount="106">
  <si>
    <t>PRODUTO</t>
  </si>
  <si>
    <t>ITEM</t>
  </si>
  <si>
    <t>QUANT</t>
  </si>
  <si>
    <t>TOTAL</t>
  </si>
  <si>
    <t>COT EURO</t>
  </si>
  <si>
    <t>TOTAL R$</t>
  </si>
  <si>
    <t>MODALID</t>
  </si>
  <si>
    <t>SLALOM</t>
  </si>
  <si>
    <t>POLO</t>
  </si>
  <si>
    <t>PREVISÃO</t>
  </si>
  <si>
    <t>SOBRA</t>
  </si>
  <si>
    <t>DEFICIT</t>
  </si>
  <si>
    <t>REMOS CAIAQUE POLO</t>
  </si>
  <si>
    <t>CAPACETES COM GRADE CAIAQUE POLO</t>
  </si>
  <si>
    <t>REMOS CANOA PARACANOAGEM</t>
  </si>
  <si>
    <t>REMOS CAIAQUE PARACANOAGEM</t>
  </si>
  <si>
    <t>CAPACETES SLALOM</t>
  </si>
  <si>
    <t>SAIAS CAIAQUE POLO</t>
  </si>
  <si>
    <t>SAIAS CONTRA RESPINGOS C1 SLALOM</t>
  </si>
  <si>
    <t>SAIAS CONTRA RESPINGOS K1 SLALOM</t>
  </si>
  <si>
    <t xml:space="preserve">COLETES SALVA-VIDAS </t>
  </si>
  <si>
    <t>TODOS</t>
  </si>
  <si>
    <t>CAIAQUE POLO ROTOMOLDADO</t>
  </si>
  <si>
    <t>CONTAINER 40 PÉS</t>
  </si>
  <si>
    <t>Tributação NCM</t>
  </si>
  <si>
    <t>8903.99.00</t>
  </si>
  <si>
    <t>6506.91.00</t>
  </si>
  <si>
    <t>6307.20.00</t>
  </si>
  <si>
    <t>II</t>
  </si>
  <si>
    <t xml:space="preserve">IPI </t>
  </si>
  <si>
    <t xml:space="preserve">PIS </t>
  </si>
  <si>
    <t>ICMS</t>
  </si>
  <si>
    <t>ISS</t>
  </si>
  <si>
    <t>TRANSPORTE TERRESTRE EUROPA</t>
  </si>
  <si>
    <t>TRANSPORTE TERRESTRE BRASIL</t>
  </si>
  <si>
    <t>IMPOSTOS CALCULADOS</t>
  </si>
  <si>
    <t>TAXA SISCOMEX</t>
  </si>
  <si>
    <t>ADICIONAL D.I. ADICOEX</t>
  </si>
  <si>
    <t>PESAGEM ELOG</t>
  </si>
  <si>
    <t>ESTADIAS ELOG</t>
  </si>
  <si>
    <t>ARMAZENAGEM</t>
  </si>
  <si>
    <t>MOVIMENTAÇÃO</t>
  </si>
  <si>
    <t>FRETE RODOVIARIO</t>
  </si>
  <si>
    <t>AFRMM</t>
  </si>
  <si>
    <t>TAXAS DE DESTINO</t>
  </si>
  <si>
    <t>CAIAQUE POLO CARBONO/KEVLAR</t>
  </si>
  <si>
    <t>CAIAQUE K1 - CARBONO/KEVLAR</t>
  </si>
  <si>
    <t>REMOS C1 - CARBONO/KEVLAR</t>
  </si>
  <si>
    <t xml:space="preserve">MINI KAIAK </t>
  </si>
  <si>
    <t>EURO</t>
  </si>
  <si>
    <t>CANOA - C1 - CARBONO/KEVLAR</t>
  </si>
  <si>
    <t>K1 SPRINT - CARBONO/KEVLAR</t>
  </si>
  <si>
    <t xml:space="preserve">V1 -  va´a </t>
  </si>
  <si>
    <t>PARACANOA</t>
  </si>
  <si>
    <t>MELHOR PREÇO</t>
  </si>
  <si>
    <t>P1</t>
  </si>
  <si>
    <t>P2</t>
  </si>
  <si>
    <t>P3</t>
  </si>
  <si>
    <t>P4</t>
  </si>
  <si>
    <t>P5</t>
  </si>
  <si>
    <t>P6</t>
  </si>
  <si>
    <t>P7</t>
  </si>
  <si>
    <t>P8</t>
  </si>
  <si>
    <t>P9</t>
  </si>
  <si>
    <t>DOLAR</t>
  </si>
  <si>
    <t>P10</t>
  </si>
  <si>
    <t>P11</t>
  </si>
  <si>
    <t>P12</t>
  </si>
  <si>
    <t>REMO CARBONO/KEVLAR</t>
  </si>
  <si>
    <t>HONORÁRIO DESP ADUANEIRO</t>
  </si>
  <si>
    <t>COFINS</t>
  </si>
  <si>
    <t>REMOS K1 - CARBONO/KEVLAR</t>
  </si>
  <si>
    <t>Veículo do tipo micro-ônibus de Fabricação Nacional, Ano/Modelo 2018/2019 ou 2019/2019. Carro Completo – Carroceria e Chassis integrados Capacidade de 28 a 34 passageiros + Auxiliar + Motorista. Poltronas executivas soft, 940 mm revestidas em tecido com porta copos embutidos, e com entrada USB para carregamento de celular. Sistema de ar condicionado de teto, dutado no porta pacote Porta pacotes com iluminação individual e autofalantes. Numeração de poltronas. Janelas com vidros colados, cortinas em todas as janelas, Bagageiro na traseira com fechadura, Vidro vigia traseiro, Geladeira Elétrica Sistema de som com rádio AM/FM, DVD e 03 telas de LCD instalados. Entrada de ar e saídas de emergência no teto e nas laterais. Parede total de separação, com porta deslizante. Poltrona hidráulica para o motorista com deslocamento lateral, Sirene de ré. Lanternas traseiras com iluminação de led. Corredor central para os passageiros. Quebra sol do tipo sanefa para o motorista. Volante escamoteavel com regulagem de altura. Acesso ao posto do motorista facil, Direção hidráulica. Porta pantográfica com acionamento a ar externo e interno Motor com potência mínima de 162 CV a 2.200 rpm com turbo e intercooler. 01 Unid. Motor com cilindros em linha, combustível diesel, injeção eletrônica, Computador de Bordo. Torque mínimo de 600 Nm de 1.200 a 1.600 rpm, Rodado Duplo na traseira Sistema de bateria de 24 volts, tanque de combustível de, no mínimo, 150 litros de diesel, Freios a Ar, com tambores e lonas nas rodas dianteiras e traseiras. Comprimento mínimo de 10.145 mm, Largura Externa mínima 2.360mm, Entre eixos de no mínimo 5.500 mm, Altura Interna mínima 1.954mm, Altura externa mínima 3140 mm, Peso Bruto Total máximo de 10.000 Kg Capacidade de peso no eixo dianteiro minimo de 3.200 kg e 6800 mil kg no eixo traseiro. Assistência técnica completa chassi carroceria e Garantia. Prazo máximo de entrega 90 dias.</t>
  </si>
  <si>
    <t>VALOR PREVISTO</t>
  </si>
  <si>
    <t>DIFERENÇA</t>
  </si>
  <si>
    <t>PROJETO</t>
  </si>
  <si>
    <t>2.5</t>
  </si>
  <si>
    <t>6.20</t>
  </si>
  <si>
    <t>1 UNID</t>
  </si>
  <si>
    <r>
      <t xml:space="preserve">Plataforma de estrutura flutuante modular de plástico rotomoldado, medindo 10 m x 3 m, com área total de estrutura de 30 m2 que visa servir de apoio para atletas de canoagem, de forma que a estrutura terá que se manter inerte com peso aproximado de 400 kg . A estrutura de encaixes deverá propiciar a transformação da plataforma em 20 m x 1,5m mantendo barra de proteção lateral e os cunhos de amarração. </t>
    </r>
    <r>
      <rPr>
        <b/>
        <u/>
        <sz val="9"/>
        <color rgb="FF000000"/>
        <rFont val="Calibri"/>
        <family val="2"/>
        <scheme val="minor"/>
      </rPr>
      <t>O preço do material deverá constar a entrega na Cidade de Foz do Iguaçu</t>
    </r>
    <r>
      <rPr>
        <sz val="9"/>
        <color rgb="FF000000"/>
        <rFont val="Calibri"/>
        <family val="2"/>
        <scheme val="minor"/>
      </rPr>
      <t xml:space="preserve">, com prazo máximo de 30 dias do pedido. Só serão aceitas propostas que contenham informativos e ilustrações de plataformas já instaladas, onde se possa solicitar informações que garantam a sustentabilidade do sistema. Não serão aceitas propostas que não comprovem a experiência e participação da empresa neste mercado de plataformas flutuantes.    </t>
    </r>
  </si>
  <si>
    <t>P1 CONNECT - POR - ORÇAMENTO</t>
  </si>
  <si>
    <t>P2 POLAZICK - POL - ORÇAMENTO</t>
  </si>
  <si>
    <t>P4 VAJDA - SVK - ORÇAMENTO</t>
  </si>
  <si>
    <t>P5 DRAGOROSSI - ITA - ORÇAMENTO</t>
  </si>
  <si>
    <t>P6 CPS - CHN - ORÇAMENTO</t>
  </si>
  <si>
    <t>P7 GPOWER -POL - ORÇAMENTO</t>
  </si>
  <si>
    <t>P10 SEAWOLF- BRA - ORÇAMENTO</t>
  </si>
  <si>
    <t>P12 HIDRO2 -BRA - ORÇAMENTO</t>
  </si>
  <si>
    <t xml:space="preserve">P3 NELO - POR - ORÇAMENTO 1    </t>
  </si>
  <si>
    <t>P3 NELO - POR - ORÇAMENTO 2</t>
  </si>
  <si>
    <t>P3 NELO - POR - ORÇAMENTO 3</t>
  </si>
  <si>
    <t>P8 CANOE-BRA - ORÇAMENTO 1</t>
  </si>
  <si>
    <t>P8 CANOE-BRA - ORÇAMENTO 2</t>
  </si>
  <si>
    <t>P9 R44 -BRA - ORÇAMENTO 1</t>
  </si>
  <si>
    <t>P9 R44 -BRA - ORÇAMENTO 2</t>
  </si>
  <si>
    <t xml:space="preserve">P11 PERNAMBUCO FIBRAS-BRA - ORÇAMENTO 1     </t>
  </si>
  <si>
    <t xml:space="preserve">P11 PERNAMBUCO FIBRAS-BRA - ORÇAMENTO 2     </t>
  </si>
  <si>
    <t>PROPOSTAS</t>
  </si>
  <si>
    <t>P1 - VOLARE - ORÇAMENTO</t>
  </si>
  <si>
    <t>P2 - MERCEDES - ORÇAMENTO CARROCERIA</t>
  </si>
  <si>
    <t>P2 - MERCEDES - ORÇAMENTO CHASSI</t>
  </si>
  <si>
    <t>P3 - NEOBUS - ORÇAMENTO</t>
  </si>
  <si>
    <t>P1 - PIERPLASS - BRA - ORÇAMENTO</t>
  </si>
  <si>
    <t>P2 - GAPIZA - BRA - ORÇAMENTO</t>
  </si>
  <si>
    <t>P3 - SMART PIER - BRA - ORÇAMENTO</t>
  </si>
  <si>
    <t>P4 - HISEADOCK -CHN - ORÇAMENTO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</si>
</sst>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R$&quot;\ #,##0.00;[Red]\-&quot;R$&quot;\ #,##0.00"/>
    <numFmt numFmtId="43" formatCode="_-* #,##0.00_-;\-* #,##0.00_-;_-* &quot;-&quot;??_-;_-@_-"/>
    <numFmt numFmtId="164" formatCode="_-[$€-2]\ * #,##0.00_-;\-[$€-2]\ * #,##0.00_-;_-[$€-2]\ * &quot;-&quot;??_-;_-@_-"/>
    <numFmt numFmtId="165" formatCode="_-[$R$-416]\ * #,##0.00_-;\-[$R$-416]\ * #,##0.00_-;_-[$R$-416]\ * &quot;-&quot;??_-;_-@_-"/>
    <numFmt numFmtId="166" formatCode="&quot;R$ &quot;#,##0_);\(&quot;R$ &quot;#,##0\)"/>
  </numFmts>
  <fonts count="15" x14ac:knownFonts="1">
    <font>
      <sz val="11"/>
      <color theme="1"/>
      <name val="Calibri"/>
      <family val="2"/>
      <scheme val="minor"/>
    </font>
    <font>
      <sz val="10"/>
      <name val="Arial"/>
    </font>
    <font>
      <sz val="10"/>
      <name val="Arial"/>
      <family val="2"/>
    </font>
    <font>
      <sz val="9"/>
      <color indexed="81"/>
      <name val="Segoe UI"/>
      <charset val="1"/>
    </font>
    <font>
      <b/>
      <sz val="9"/>
      <color indexed="81"/>
      <name val="Segoe UI"/>
      <charset val="1"/>
    </font>
    <font>
      <sz val="9"/>
      <color indexed="81"/>
      <name val="Segoe UI"/>
      <family val="2"/>
    </font>
    <font>
      <b/>
      <sz val="8"/>
      <color theme="1"/>
      <name val="Calibri"/>
      <family val="2"/>
      <scheme val="minor"/>
    </font>
    <font>
      <sz val="8"/>
      <color theme="1"/>
      <name val="Calibri"/>
      <family val="2"/>
      <scheme val="minor"/>
    </font>
    <font>
      <sz val="8"/>
      <name val="Arial"/>
      <family val="2"/>
    </font>
    <font>
      <b/>
      <sz val="9"/>
      <color indexed="81"/>
      <name val="Segoe UI"/>
      <family val="2"/>
    </font>
    <font>
      <sz val="8"/>
      <name val="Calibri"/>
      <family val="2"/>
      <scheme val="minor"/>
    </font>
    <font>
      <sz val="9"/>
      <color rgb="FF000000"/>
      <name val="Calibri"/>
      <family val="2"/>
      <scheme val="minor"/>
    </font>
    <font>
      <b/>
      <u/>
      <sz val="9"/>
      <color rgb="FF000000"/>
      <name val="Calibri"/>
      <family val="2"/>
      <scheme val="minor"/>
    </font>
    <font>
      <sz val="11"/>
      <color rgb="FF000000"/>
      <name val="Calibri"/>
      <family val="2"/>
      <scheme val="minor"/>
    </font>
    <font>
      <u/>
      <sz val="11"/>
      <color theme="1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5"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1" fillId="0" borderId="0"/>
    <xf numFmtId="0" fontId="2" fillId="0" borderId="0"/>
    <xf numFmtId="9" fontId="2" fillId="0" borderId="0" applyFont="0" applyFill="0" applyBorder="0" applyAlignment="0" applyProtection="0"/>
    <xf numFmtId="166" fontId="2" fillId="0" borderId="0" applyFill="0" applyAlignment="0" applyProtection="0"/>
    <xf numFmtId="43" fontId="2" fillId="0" borderId="0" applyFont="0" applyFill="0" applyBorder="0" applyAlignment="0" applyProtection="0"/>
    <xf numFmtId="0" fontId="14" fillId="0" borderId="0" applyNumberFormat="0" applyFill="0" applyBorder="0" applyAlignment="0" applyProtection="0"/>
  </cellStyleXfs>
  <cellXfs count="43">
    <xf numFmtId="0" fontId="0" fillId="0" borderId="0" xfId="0"/>
    <xf numFmtId="165" fontId="0" fillId="0" borderId="0" xfId="0" applyNumberFormat="1"/>
    <xf numFmtId="0" fontId="6" fillId="0" borderId="1" xfId="0" applyFont="1" applyBorder="1" applyAlignment="1">
      <alignment horizontal="center"/>
    </xf>
    <xf numFmtId="0" fontId="6" fillId="0" borderId="1" xfId="0" applyFont="1" applyFill="1" applyBorder="1" applyAlignment="1">
      <alignment horizontal="center"/>
    </xf>
    <xf numFmtId="0" fontId="7" fillId="0" borderId="0" xfId="0" applyFont="1"/>
    <xf numFmtId="0" fontId="7" fillId="0" borderId="1" xfId="0" applyFont="1" applyBorder="1" applyAlignment="1">
      <alignment horizontal="center" vertical="top"/>
    </xf>
    <xf numFmtId="0" fontId="7" fillId="0" borderId="1" xfId="0" applyFont="1" applyBorder="1" applyAlignment="1">
      <alignment wrapText="1"/>
    </xf>
    <xf numFmtId="0" fontId="7" fillId="0" borderId="1" xfId="0" applyFont="1" applyBorder="1" applyAlignment="1">
      <alignment vertical="top" wrapText="1"/>
    </xf>
    <xf numFmtId="164" fontId="7" fillId="0" borderId="1" xfId="0" applyNumberFormat="1" applyFont="1" applyBorder="1" applyAlignment="1">
      <alignment horizontal="center" vertical="top"/>
    </xf>
    <xf numFmtId="165" fontId="7" fillId="0" borderId="1" xfId="0" applyNumberFormat="1" applyFont="1" applyBorder="1" applyAlignment="1">
      <alignment horizontal="center" vertical="top"/>
    </xf>
    <xf numFmtId="165" fontId="7" fillId="0" borderId="1" xfId="0" applyNumberFormat="1" applyFont="1" applyBorder="1" applyAlignment="1">
      <alignment vertical="top"/>
    </xf>
    <xf numFmtId="0" fontId="7" fillId="0" borderId="1" xfId="0" applyFont="1" applyBorder="1" applyAlignment="1">
      <alignment horizontal="center" vertical="top" wrapText="1"/>
    </xf>
    <xf numFmtId="165" fontId="7" fillId="0" borderId="1" xfId="0" applyNumberFormat="1" applyFont="1" applyBorder="1"/>
    <xf numFmtId="0" fontId="7" fillId="0" borderId="1" xfId="0" applyFont="1" applyBorder="1"/>
    <xf numFmtId="0" fontId="7" fillId="0" borderId="1" xfId="0" applyFont="1" applyBorder="1" applyAlignment="1">
      <alignment vertical="top"/>
    </xf>
    <xf numFmtId="0" fontId="7" fillId="0" borderId="1" xfId="0" applyFont="1" applyBorder="1" applyAlignment="1">
      <alignment horizontal="center"/>
    </xf>
    <xf numFmtId="0" fontId="7" fillId="0" borderId="1" xfId="0" applyFont="1" applyFill="1" applyBorder="1"/>
    <xf numFmtId="0" fontId="7" fillId="0" borderId="1" xfId="0" applyFont="1" applyFill="1" applyBorder="1" applyAlignment="1">
      <alignment horizontal="center" vertical="top"/>
    </xf>
    <xf numFmtId="164" fontId="7" fillId="0" borderId="1" xfId="0" applyNumberFormat="1" applyFont="1" applyFill="1" applyBorder="1" applyAlignment="1">
      <alignment horizontal="center" vertical="top"/>
    </xf>
    <xf numFmtId="165" fontId="7" fillId="0" borderId="1" xfId="0" applyNumberFormat="1" applyFont="1" applyFill="1" applyBorder="1" applyAlignment="1">
      <alignment horizontal="center" vertical="top"/>
    </xf>
    <xf numFmtId="165" fontId="7" fillId="2" borderId="1" xfId="0" applyNumberFormat="1" applyFont="1" applyFill="1" applyBorder="1" applyAlignment="1">
      <alignment horizontal="center" vertical="top"/>
    </xf>
    <xf numFmtId="165" fontId="7" fillId="0" borderId="0" xfId="0" applyNumberFormat="1" applyFont="1"/>
    <xf numFmtId="165" fontId="7" fillId="2" borderId="0" xfId="0" applyNumberFormat="1" applyFont="1" applyFill="1"/>
    <xf numFmtId="8" fontId="7" fillId="0" borderId="1" xfId="0" applyNumberFormat="1" applyFont="1" applyBorder="1"/>
    <xf numFmtId="4" fontId="8" fillId="0" borderId="1" xfId="1" applyNumberFormat="1" applyFont="1" applyFill="1" applyBorder="1" applyAlignment="1">
      <alignment horizontal="right"/>
    </xf>
    <xf numFmtId="0" fontId="8" fillId="0" borderId="0" xfId="1" applyFont="1" applyFill="1" applyBorder="1" applyAlignment="1">
      <alignment horizontal="left"/>
    </xf>
    <xf numFmtId="165" fontId="7" fillId="2" borderId="1" xfId="0" applyNumberFormat="1" applyFont="1" applyFill="1" applyBorder="1"/>
    <xf numFmtId="16" fontId="0" fillId="0" borderId="0" xfId="0" applyNumberFormat="1"/>
    <xf numFmtId="165" fontId="7" fillId="0" borderId="1" xfId="0" applyNumberFormat="1" applyFont="1" applyFill="1" applyBorder="1" applyAlignment="1">
      <alignment vertical="top"/>
    </xf>
    <xf numFmtId="0" fontId="6" fillId="0" borderId="1" xfId="0" applyFont="1" applyBorder="1" applyAlignment="1">
      <alignment horizontal="center" wrapText="1"/>
    </xf>
    <xf numFmtId="165" fontId="7" fillId="4" borderId="1" xfId="0" applyNumberFormat="1" applyFont="1" applyFill="1" applyBorder="1" applyAlignment="1">
      <alignment horizontal="center" vertical="top"/>
    </xf>
    <xf numFmtId="0" fontId="10" fillId="0" borderId="1" xfId="1" applyFont="1" applyFill="1" applyBorder="1" applyAlignment="1">
      <alignment horizontal="left"/>
    </xf>
    <xf numFmtId="165" fontId="7" fillId="3" borderId="1" xfId="0" applyNumberFormat="1" applyFont="1" applyFill="1" applyBorder="1" applyAlignment="1">
      <alignment horizontal="center" vertical="top"/>
    </xf>
    <xf numFmtId="164" fontId="7" fillId="3" borderId="1" xfId="0" applyNumberFormat="1" applyFont="1" applyFill="1" applyBorder="1" applyAlignment="1">
      <alignment horizontal="center" vertical="top"/>
    </xf>
    <xf numFmtId="0" fontId="11" fillId="0" borderId="1" xfId="0" applyFont="1" applyBorder="1" applyAlignment="1">
      <alignment vertical="center" wrapText="1"/>
    </xf>
    <xf numFmtId="0" fontId="13" fillId="0" borderId="0" xfId="0" applyFont="1"/>
    <xf numFmtId="0" fontId="14" fillId="0" borderId="0" xfId="6"/>
    <xf numFmtId="0" fontId="6" fillId="5" borderId="1" xfId="0" applyFont="1" applyFill="1" applyBorder="1" applyAlignment="1">
      <alignment horizontal="center"/>
    </xf>
    <xf numFmtId="165" fontId="7" fillId="5" borderId="1" xfId="0" applyNumberFormat="1" applyFont="1" applyFill="1" applyBorder="1" applyAlignment="1">
      <alignment horizontal="center" vertical="top"/>
    </xf>
    <xf numFmtId="0" fontId="6" fillId="6" borderId="1" xfId="0" applyFont="1" applyFill="1" applyBorder="1" applyAlignment="1">
      <alignment horizontal="center"/>
    </xf>
    <xf numFmtId="0" fontId="7" fillId="6" borderId="1" xfId="0" applyFont="1" applyFill="1" applyBorder="1"/>
    <xf numFmtId="165" fontId="7" fillId="6" borderId="1" xfId="0" applyNumberFormat="1" applyFont="1" applyFill="1" applyBorder="1" applyAlignment="1">
      <alignment horizontal="center" vertical="top"/>
    </xf>
    <xf numFmtId="165" fontId="7" fillId="6" borderId="0" xfId="0" applyNumberFormat="1" applyFont="1" applyFill="1"/>
  </cellXfs>
  <cellStyles count="7">
    <cellStyle name="Hiperlink" xfId="6" builtinId="8"/>
    <cellStyle name="Normal" xfId="0" builtinId="0"/>
    <cellStyle name="Normal 2" xfId="2" xr:uid="{63E03A0B-BBD1-463C-8326-061FC45B5D11}"/>
    <cellStyle name="Normal 3" xfId="1" xr:uid="{73703280-0679-4FF8-91BE-DE3FC85541A7}"/>
    <cellStyle name="Porcentagem 2" xfId="3" xr:uid="{BD180820-B892-472D-B832-F370A195E557}"/>
    <cellStyle name="Separador de milhares 2" xfId="4" xr:uid="{CD395D45-E242-47AB-8331-475F48591CD5}"/>
    <cellStyle name="Vírgula 2" xfId="5" xr:uid="{B5DD5BF3-4AB4-4D7B-9C51-905FC29BFE0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0</xdr:row>
      <xdr:rowOff>0</xdr:rowOff>
    </xdr:from>
    <xdr:to>
      <xdr:col>4</xdr:col>
      <xdr:colOff>653133</xdr:colOff>
      <xdr:row>4</xdr:row>
      <xdr:rowOff>9525</xdr:rowOff>
    </xdr:to>
    <xdr:pic>
      <xdr:nvPicPr>
        <xdr:cNvPr id="3" name="Imagem 2">
          <a:extLst>
            <a:ext uri="{FF2B5EF4-FFF2-40B4-BE49-F238E27FC236}">
              <a16:creationId xmlns:a16="http://schemas.microsoft.com/office/drawing/2014/main" id="{B56749B4-97CA-42FB-8ABB-C05F885B84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 y="0"/>
          <a:ext cx="3186783" cy="771525"/>
        </a:xfrm>
        <a:prstGeom prst="rect">
          <a:avLst/>
        </a:prstGeom>
      </xdr:spPr>
    </xdr:pic>
    <xdr:clientData/>
  </xdr:twoCellAnchor>
  <xdr:twoCellAnchor>
    <xdr:from>
      <xdr:col>7</xdr:col>
      <xdr:colOff>352424</xdr:colOff>
      <xdr:row>32</xdr:row>
      <xdr:rowOff>180975</xdr:rowOff>
    </xdr:from>
    <xdr:to>
      <xdr:col>11</xdr:col>
      <xdr:colOff>704849</xdr:colOff>
      <xdr:row>33</xdr:row>
      <xdr:rowOff>180975</xdr:rowOff>
    </xdr:to>
    <xdr:sp macro="" textlink="">
      <xdr:nvSpPr>
        <xdr:cNvPr id="2" name="CaixaDeTexto 1">
          <a:extLst>
            <a:ext uri="{FF2B5EF4-FFF2-40B4-BE49-F238E27FC236}">
              <a16:creationId xmlns:a16="http://schemas.microsoft.com/office/drawing/2014/main" id="{148F85C8-8EE4-4054-AD40-4B6835E5C8B0}"/>
            </a:ext>
          </a:extLst>
        </xdr:cNvPr>
        <xdr:cNvSpPr txBox="1"/>
      </xdr:nvSpPr>
      <xdr:spPr>
        <a:xfrm>
          <a:off x="5438774" y="6353175"/>
          <a:ext cx="3057525" cy="1905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a:t>PREVISÃO</a:t>
          </a:r>
          <a:r>
            <a:rPr lang="pt-BR" sz="1100" baseline="0"/>
            <a:t> PROJETO = BENS+IMPOSTOS+DESPESAS</a:t>
          </a:r>
          <a:endParaRPr lang="pt-BR" sz="1100"/>
        </a:p>
      </xdr:txBody>
    </xdr:sp>
    <xdr:clientData/>
  </xdr:twoCellAnchor>
  <xdr:twoCellAnchor>
    <xdr:from>
      <xdr:col>7</xdr:col>
      <xdr:colOff>371474</xdr:colOff>
      <xdr:row>35</xdr:row>
      <xdr:rowOff>9525</xdr:rowOff>
    </xdr:from>
    <xdr:to>
      <xdr:col>12</xdr:col>
      <xdr:colOff>9524</xdr:colOff>
      <xdr:row>36</xdr:row>
      <xdr:rowOff>9525</xdr:rowOff>
    </xdr:to>
    <xdr:sp macro="" textlink="">
      <xdr:nvSpPr>
        <xdr:cNvPr id="6" name="CaixaDeTexto 5">
          <a:extLst>
            <a:ext uri="{FF2B5EF4-FFF2-40B4-BE49-F238E27FC236}">
              <a16:creationId xmlns:a16="http://schemas.microsoft.com/office/drawing/2014/main" id="{8D9AD71D-FC6B-4F46-971F-C235F16CBD7C}"/>
            </a:ext>
          </a:extLst>
        </xdr:cNvPr>
        <xdr:cNvSpPr txBox="1"/>
      </xdr:nvSpPr>
      <xdr:spPr>
        <a:xfrm>
          <a:off x="5457824" y="6753225"/>
          <a:ext cx="3057525" cy="19050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baseline="0"/>
            <a:t>VALOR ORÇADO = BENS+IMPOSTOS+DESPESAS</a:t>
          </a:r>
          <a:endParaRPr lang="pt-BR" sz="1100"/>
        </a:p>
      </xdr:txBody>
    </xdr:sp>
    <xdr:clientData/>
  </xdr:twoCellAnchor>
  <xdr:twoCellAnchor>
    <xdr:from>
      <xdr:col>7</xdr:col>
      <xdr:colOff>361949</xdr:colOff>
      <xdr:row>37</xdr:row>
      <xdr:rowOff>0</xdr:rowOff>
    </xdr:from>
    <xdr:to>
      <xdr:col>11</xdr:col>
      <xdr:colOff>714374</xdr:colOff>
      <xdr:row>38</xdr:row>
      <xdr:rowOff>0</xdr:rowOff>
    </xdr:to>
    <xdr:sp macro="" textlink="">
      <xdr:nvSpPr>
        <xdr:cNvPr id="7" name="CaixaDeTexto 6">
          <a:extLst>
            <a:ext uri="{FF2B5EF4-FFF2-40B4-BE49-F238E27FC236}">
              <a16:creationId xmlns:a16="http://schemas.microsoft.com/office/drawing/2014/main" id="{A5338938-E060-4A3C-A1F7-1C078F1ECD1D}"/>
            </a:ext>
          </a:extLst>
        </xdr:cNvPr>
        <xdr:cNvSpPr txBox="1"/>
      </xdr:nvSpPr>
      <xdr:spPr>
        <a:xfrm>
          <a:off x="5448299" y="7124700"/>
          <a:ext cx="3057525" cy="19050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baseline="0"/>
            <a:t>                                                 SOBRA DE SEGURANÇA</a:t>
          </a:r>
          <a:endParaRPr lang="pt-BR" sz="1100"/>
        </a:p>
      </xdr:txBody>
    </xdr:sp>
    <xdr:clientData/>
  </xdr:twoCellAnchor>
  <xdr:twoCellAnchor>
    <xdr:from>
      <xdr:col>1</xdr:col>
      <xdr:colOff>1190625</xdr:colOff>
      <xdr:row>47</xdr:row>
      <xdr:rowOff>171449</xdr:rowOff>
    </xdr:from>
    <xdr:to>
      <xdr:col>5</xdr:col>
      <xdr:colOff>628650</xdr:colOff>
      <xdr:row>49</xdr:row>
      <xdr:rowOff>9524</xdr:rowOff>
    </xdr:to>
    <xdr:sp macro="" textlink="">
      <xdr:nvSpPr>
        <xdr:cNvPr id="8" name="CaixaDeTexto 7">
          <a:extLst>
            <a:ext uri="{FF2B5EF4-FFF2-40B4-BE49-F238E27FC236}">
              <a16:creationId xmlns:a16="http://schemas.microsoft.com/office/drawing/2014/main" id="{C8F72194-1A24-44E8-A66F-CB0EC379C702}"/>
            </a:ext>
          </a:extLst>
        </xdr:cNvPr>
        <xdr:cNvSpPr txBox="1"/>
      </xdr:nvSpPr>
      <xdr:spPr>
        <a:xfrm>
          <a:off x="1504950" y="9201149"/>
          <a:ext cx="2781300" cy="2190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pt-BR" sz="1100"/>
            <a:t>VALOR DAS DESPESAS PREVISTO NO PROJETO</a:t>
          </a:r>
        </a:p>
      </xdr:txBody>
    </xdr:sp>
    <xdr:clientData/>
  </xdr:twoCellAnchor>
  <xdr:twoCellAnchor>
    <xdr:from>
      <xdr:col>5</xdr:col>
      <xdr:colOff>19050</xdr:colOff>
      <xdr:row>0</xdr:row>
      <xdr:rowOff>0</xdr:rowOff>
    </xdr:from>
    <xdr:to>
      <xdr:col>6</xdr:col>
      <xdr:colOff>428625</xdr:colOff>
      <xdr:row>1</xdr:row>
      <xdr:rowOff>142875</xdr:rowOff>
    </xdr:to>
    <xdr:sp macro="" textlink="">
      <xdr:nvSpPr>
        <xdr:cNvPr id="9" name="CaixaDeTexto 8">
          <a:extLst>
            <a:ext uri="{FF2B5EF4-FFF2-40B4-BE49-F238E27FC236}">
              <a16:creationId xmlns:a16="http://schemas.microsoft.com/office/drawing/2014/main" id="{ED16C9FC-AD4A-41B1-A9FE-E2E31668FA5F}"/>
            </a:ext>
          </a:extLst>
        </xdr:cNvPr>
        <xdr:cNvSpPr txBox="1"/>
      </xdr:nvSpPr>
      <xdr:spPr>
        <a:xfrm>
          <a:off x="3676650" y="0"/>
          <a:ext cx="1047750" cy="333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b="1">
              <a:solidFill>
                <a:schemeClr val="accent1">
                  <a:lumMod val="75000"/>
                </a:schemeClr>
              </a:solidFill>
            </a:rPr>
            <a:t>ORÇAMENTOS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342900</xdr:colOff>
      <xdr:row>0</xdr:row>
      <xdr:rowOff>0</xdr:rowOff>
    </xdr:from>
    <xdr:to>
      <xdr:col>3</xdr:col>
      <xdr:colOff>476096</xdr:colOff>
      <xdr:row>4</xdr:row>
      <xdr:rowOff>76200</xdr:rowOff>
    </xdr:to>
    <xdr:pic>
      <xdr:nvPicPr>
        <xdr:cNvPr id="2" name="Imagem 1">
          <a:extLst>
            <a:ext uri="{FF2B5EF4-FFF2-40B4-BE49-F238E27FC236}">
              <a16:creationId xmlns:a16="http://schemas.microsoft.com/office/drawing/2014/main" id="{B1A0848E-3B3B-421F-A874-8AC7ACA6ED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0" y="0"/>
          <a:ext cx="3462184" cy="838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333375</xdr:colOff>
      <xdr:row>0</xdr:row>
      <xdr:rowOff>0</xdr:rowOff>
    </xdr:from>
    <xdr:to>
      <xdr:col>4</xdr:col>
      <xdr:colOff>109384</xdr:colOff>
      <xdr:row>4</xdr:row>
      <xdr:rowOff>76200</xdr:rowOff>
    </xdr:to>
    <xdr:pic>
      <xdr:nvPicPr>
        <xdr:cNvPr id="2" name="Imagem 1">
          <a:extLst>
            <a:ext uri="{FF2B5EF4-FFF2-40B4-BE49-F238E27FC236}">
              <a16:creationId xmlns:a16="http://schemas.microsoft.com/office/drawing/2014/main" id="{F4261621-A457-4CD5-A4EE-26EA5CB003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0"/>
          <a:ext cx="3462184" cy="83820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or&#231;amentos\OR&#199;AMENTO%20CPS%20NOV2018.pdf" TargetMode="External"/><Relationship Id="rId13" Type="http://schemas.openxmlformats.org/officeDocument/2006/relationships/hyperlink" Target="..\or&#231;amentos\SAIAS-COLETES-CAIAQUEPOLO-3R44.pdf" TargetMode="External"/><Relationship Id="rId18" Type="http://schemas.openxmlformats.org/officeDocument/2006/relationships/printerSettings" Target="../printerSettings/printerSettings1.bin"/><Relationship Id="rId3" Type="http://schemas.openxmlformats.org/officeDocument/2006/relationships/hyperlink" Target="..\or&#231;amentos\OR&#199;AMENTO%20INVOICE%20NELO%20-K1-C1%20SLALOM.pdf" TargetMode="External"/><Relationship Id="rId21" Type="http://schemas.openxmlformats.org/officeDocument/2006/relationships/comments" Target="../comments1.xml"/><Relationship Id="rId7" Type="http://schemas.openxmlformats.org/officeDocument/2006/relationships/hyperlink" Target="..\or&#231;amentos\OR&#199;AMENTO%20DRAGOROSSI-DEZ2018.pdf" TargetMode="External"/><Relationship Id="rId12" Type="http://schemas.openxmlformats.org/officeDocument/2006/relationships/hyperlink" Target="..\or&#231;amentos\SAIA-COLETE-CSR44%20Or&#231;amento.pdf" TargetMode="External"/><Relationship Id="rId17" Type="http://schemas.openxmlformats.org/officeDocument/2006/relationships/hyperlink" Target="..\or&#231;amentos\SAIAS-CAPACETES%20-%20HIDRO2.pdf" TargetMode="External"/><Relationship Id="rId2" Type="http://schemas.openxmlformats.org/officeDocument/2006/relationships/hyperlink" Target="..\or&#231;amentos\Or&#231;amento%20-%20Polazick.pdf" TargetMode="External"/><Relationship Id="rId16" Type="http://schemas.openxmlformats.org/officeDocument/2006/relationships/hyperlink" Target="..\or&#231;amentos\OR&#199;AMENTO%20PERNAMBUCO%20CARBONO.pdf" TargetMode="External"/><Relationship Id="rId20" Type="http://schemas.openxmlformats.org/officeDocument/2006/relationships/vmlDrawing" Target="../drawings/vmlDrawing1.vml"/><Relationship Id="rId1" Type="http://schemas.openxmlformats.org/officeDocument/2006/relationships/hyperlink" Target="..\or&#231;amentos\OR&#199;AMENTO%20CONNECT-14-12-2018-B.pdf" TargetMode="External"/><Relationship Id="rId6" Type="http://schemas.openxmlformats.org/officeDocument/2006/relationships/hyperlink" Target="..\or&#231;amentos\OR&#199;AMENTO%20VAJDA%20NOV%202018.pdf" TargetMode="External"/><Relationship Id="rId11" Type="http://schemas.openxmlformats.org/officeDocument/2006/relationships/hyperlink" Target="..\or&#231;amentos\SAIAS-COLETES-REMOS-CANOE2.pdf" TargetMode="External"/><Relationship Id="rId5" Type="http://schemas.openxmlformats.org/officeDocument/2006/relationships/hyperlink" Target="..\or&#231;amentos\OR&#199;AMENTO%20NELO%20PARACANOAGEM%2016-11-2018.pdf" TargetMode="External"/><Relationship Id="rId15" Type="http://schemas.openxmlformats.org/officeDocument/2006/relationships/hyperlink" Target="..\or&#231;amentos\OR&#199;AMENTO%20PERNAMBUCO%20FIBRAS.pdf" TargetMode="External"/><Relationship Id="rId10" Type="http://schemas.openxmlformats.org/officeDocument/2006/relationships/hyperlink" Target="..\or&#231;amentos\SAIAS-COLETES-CAIAQUEPOLO-2CANOE.pdf" TargetMode="External"/><Relationship Id="rId19" Type="http://schemas.openxmlformats.org/officeDocument/2006/relationships/drawing" Target="../drawings/drawing1.xml"/><Relationship Id="rId4" Type="http://schemas.openxmlformats.org/officeDocument/2006/relationships/hyperlink" Target="..\or&#231;amentos\OR&#199;AMENTO%20NELO%20-%20K1-C1%20VELOCIDADE.pdf" TargetMode="External"/><Relationship Id="rId9" Type="http://schemas.openxmlformats.org/officeDocument/2006/relationships/hyperlink" Target="..\or&#231;amentos\OR&#199;AMENTO%20GPOWER-%20Brazil%20Federation%20(1).pdf" TargetMode="External"/><Relationship Id="rId14" Type="http://schemas.openxmlformats.org/officeDocument/2006/relationships/hyperlink" Target="..\or&#231;amentos\SAIAS-COLETESOr&#231;amento%20Sea%20Wolf.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or&#231;amentos\BUS-NEOBUS.pdf" TargetMode="External"/><Relationship Id="rId2" Type="http://schemas.openxmlformats.org/officeDocument/2006/relationships/hyperlink" Target="..\or&#231;amentos\BUS-MERCEDES%20-%20LO916%20-%20CARROCERIA%20-%20PRE&#199;O.pdf" TargetMode="External"/><Relationship Id="rId1" Type="http://schemas.openxmlformats.org/officeDocument/2006/relationships/hyperlink" Target="..\or&#231;amentos\BUS-VOLARE%20-%20WL%20EXECUTIVO%20-%20OR&#199;AMENTO.pdf"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or&#231;amentos\BUS-MERCEDES%20-Proposta%20%20Instituto%20Meninos%20do%20Lago%20(1).pdf" TargetMode="External"/></Relationships>
</file>

<file path=xl/worksheets/_rels/sheet3.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or&#231;amentos\PIER%20-%20SMARTPIER.pdf" TargetMode="External"/><Relationship Id="rId7" Type="http://schemas.openxmlformats.org/officeDocument/2006/relationships/vmlDrawing" Target="../drawings/vmlDrawing2.vml"/><Relationship Id="rId2" Type="http://schemas.openxmlformats.org/officeDocument/2006/relationships/hyperlink" Target="..\or&#231;amentos\PIER%20-%20GAPIZA.pdf" TargetMode="External"/><Relationship Id="rId1" Type="http://schemas.openxmlformats.org/officeDocument/2006/relationships/hyperlink" Target="..\or&#231;amentos\PIER%20-%20PIERPLAS.pdf"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or&#231;amentos\PIER-CHN-PROFORMA%20INVOICE%20(1).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13C53-3734-4E1C-9651-B59C51EE4405}">
  <dimension ref="A2:AF59"/>
  <sheetViews>
    <sheetView tabSelected="1" workbookViewId="0">
      <selection activeCell="G51" sqref="G51"/>
    </sheetView>
  </sheetViews>
  <sheetFormatPr defaultRowHeight="15" x14ac:dyDescent="0.25"/>
  <cols>
    <col min="1" max="1" width="4.7109375" customWidth="1"/>
    <col min="2" max="2" width="25.42578125" customWidth="1"/>
    <col min="3" max="3" width="8.5703125" customWidth="1"/>
    <col min="4" max="4" width="6.140625" customWidth="1"/>
    <col min="5" max="5" width="10" customWidth="1"/>
    <col min="6" max="6" width="9.5703125" customWidth="1"/>
    <col min="7" max="7" width="11.85546875" customWidth="1"/>
    <col min="8" max="8" width="10.140625" customWidth="1"/>
    <col min="9" max="9" width="9.7109375" customWidth="1"/>
    <col min="10" max="10" width="10.28515625" customWidth="1"/>
    <col min="11" max="11" width="10.42578125" customWidth="1"/>
    <col min="12" max="12" width="11.7109375" customWidth="1"/>
    <col min="13" max="14" width="9.28515625" customWidth="1"/>
    <col min="15" max="15" width="11.5703125" customWidth="1"/>
    <col min="16" max="16" width="10.5703125" customWidth="1"/>
    <col min="17" max="17" width="9.28515625" bestFit="1" customWidth="1"/>
    <col min="18" max="18" width="9.85546875" bestFit="1" customWidth="1"/>
    <col min="19" max="19" width="9.85546875" customWidth="1"/>
    <col min="20" max="22" width="11.5703125" bestFit="1" customWidth="1"/>
    <col min="23" max="23" width="11.28515625" customWidth="1"/>
    <col min="24" max="24" width="10.85546875" customWidth="1"/>
    <col min="25" max="25" width="11.28515625" customWidth="1"/>
    <col min="26" max="27" width="11.42578125" customWidth="1"/>
    <col min="28" max="28" width="10.7109375" bestFit="1" customWidth="1"/>
    <col min="29" max="29" width="11.5703125" customWidth="1"/>
    <col min="30" max="30" width="11.28515625" customWidth="1"/>
    <col min="31" max="31" width="10.42578125" customWidth="1"/>
  </cols>
  <sheetData>
    <row r="2" spans="1:32" x14ac:dyDescent="0.25">
      <c r="H2" s="36" t="s">
        <v>80</v>
      </c>
      <c r="O2" s="35"/>
      <c r="Q2" s="35"/>
      <c r="S2" s="36" t="s">
        <v>91</v>
      </c>
      <c r="V2" s="36" t="s">
        <v>92</v>
      </c>
    </row>
    <row r="3" spans="1:32" x14ac:dyDescent="0.25">
      <c r="H3" s="36" t="s">
        <v>81</v>
      </c>
      <c r="O3" s="35"/>
      <c r="Q3" s="35"/>
      <c r="S3" s="36" t="s">
        <v>93</v>
      </c>
      <c r="V3" s="36" t="s">
        <v>94</v>
      </c>
    </row>
    <row r="4" spans="1:32" x14ac:dyDescent="0.25">
      <c r="H4" s="36" t="s">
        <v>88</v>
      </c>
      <c r="K4" s="36" t="s">
        <v>89</v>
      </c>
      <c r="L4" s="36"/>
      <c r="M4" s="36"/>
      <c r="N4" s="36" t="s">
        <v>90</v>
      </c>
      <c r="O4" s="36"/>
      <c r="P4" s="36"/>
      <c r="Q4" s="35"/>
      <c r="S4" s="36" t="s">
        <v>86</v>
      </c>
    </row>
    <row r="5" spans="1:32" x14ac:dyDescent="0.25">
      <c r="H5" s="36" t="s">
        <v>82</v>
      </c>
      <c r="O5" s="35"/>
      <c r="Q5" s="35"/>
      <c r="S5" s="36" t="s">
        <v>95</v>
      </c>
      <c r="T5" s="36"/>
      <c r="U5" s="36"/>
      <c r="V5" s="36"/>
      <c r="W5" s="36" t="s">
        <v>96</v>
      </c>
    </row>
    <row r="6" spans="1:32" x14ac:dyDescent="0.25">
      <c r="H6" s="36" t="s">
        <v>83</v>
      </c>
      <c r="O6" s="35"/>
      <c r="Q6" s="35"/>
      <c r="S6" s="36" t="s">
        <v>87</v>
      </c>
    </row>
    <row r="7" spans="1:32" x14ac:dyDescent="0.25">
      <c r="H7" s="36" t="s">
        <v>84</v>
      </c>
    </row>
    <row r="8" spans="1:32" x14ac:dyDescent="0.25">
      <c r="H8" s="36" t="s">
        <v>85</v>
      </c>
      <c r="Q8" s="27">
        <v>43448</v>
      </c>
      <c r="R8" s="27" t="s">
        <v>49</v>
      </c>
      <c r="S8" s="1">
        <v>4.41</v>
      </c>
    </row>
    <row r="9" spans="1:32" x14ac:dyDescent="0.25">
      <c r="R9" t="s">
        <v>64</v>
      </c>
      <c r="S9" s="1">
        <v>3.88</v>
      </c>
    </row>
    <row r="10" spans="1:32" ht="23.25" x14ac:dyDescent="0.25">
      <c r="A10" s="2" t="s">
        <v>1</v>
      </c>
      <c r="B10" s="2" t="s">
        <v>0</v>
      </c>
      <c r="C10" s="2" t="s">
        <v>6</v>
      </c>
      <c r="D10" s="2" t="s">
        <v>2</v>
      </c>
      <c r="E10" s="2" t="s">
        <v>55</v>
      </c>
      <c r="F10" s="2" t="s">
        <v>56</v>
      </c>
      <c r="G10" s="2" t="s">
        <v>57</v>
      </c>
      <c r="H10" s="2" t="s">
        <v>58</v>
      </c>
      <c r="I10" s="2" t="s">
        <v>59</v>
      </c>
      <c r="J10" s="2" t="s">
        <v>60</v>
      </c>
      <c r="K10" s="2" t="s">
        <v>61</v>
      </c>
      <c r="L10" s="2" t="s">
        <v>62</v>
      </c>
      <c r="M10" s="2" t="s">
        <v>63</v>
      </c>
      <c r="N10" s="2" t="s">
        <v>65</v>
      </c>
      <c r="O10" s="2" t="s">
        <v>66</v>
      </c>
      <c r="P10" s="2" t="s">
        <v>67</v>
      </c>
      <c r="Q10" s="29" t="s">
        <v>54</v>
      </c>
      <c r="R10" s="2" t="s">
        <v>3</v>
      </c>
      <c r="S10" s="3" t="s">
        <v>4</v>
      </c>
      <c r="T10" s="3" t="s">
        <v>5</v>
      </c>
      <c r="U10" s="3" t="s">
        <v>9</v>
      </c>
      <c r="V10" s="37" t="s">
        <v>10</v>
      </c>
      <c r="W10" s="39" t="s">
        <v>11</v>
      </c>
      <c r="X10" s="3" t="s">
        <v>24</v>
      </c>
      <c r="Y10" s="3" t="s">
        <v>28</v>
      </c>
      <c r="Z10" s="3" t="s">
        <v>29</v>
      </c>
      <c r="AA10" s="3" t="s">
        <v>30</v>
      </c>
      <c r="AB10" s="3" t="s">
        <v>70</v>
      </c>
      <c r="AC10" s="3" t="s">
        <v>31</v>
      </c>
      <c r="AD10" s="3" t="s">
        <v>36</v>
      </c>
      <c r="AE10" s="3" t="s">
        <v>32</v>
      </c>
      <c r="AF10" s="4"/>
    </row>
    <row r="11" spans="1:32" ht="15" customHeight="1" x14ac:dyDescent="0.25">
      <c r="A11" s="5">
        <v>1</v>
      </c>
      <c r="B11" s="7" t="s">
        <v>46</v>
      </c>
      <c r="C11" s="7" t="s">
        <v>7</v>
      </c>
      <c r="D11" s="5">
        <v>15</v>
      </c>
      <c r="E11" s="30">
        <f>749*S8</f>
        <v>3303.09</v>
      </c>
      <c r="F11" s="20">
        <f>760*S8</f>
        <v>3351.6</v>
      </c>
      <c r="G11" s="20">
        <f>1300*S8</f>
        <v>5733</v>
      </c>
      <c r="H11" s="20">
        <f>749*S8</f>
        <v>3303.09</v>
      </c>
      <c r="I11" s="19"/>
      <c r="J11" s="19"/>
      <c r="K11" s="19"/>
      <c r="L11" s="19"/>
      <c r="M11" s="19"/>
      <c r="N11" s="19"/>
      <c r="O11" s="20">
        <v>11000</v>
      </c>
      <c r="P11" s="19"/>
      <c r="Q11" s="18">
        <v>749</v>
      </c>
      <c r="R11" s="8">
        <f t="shared" ref="R11:R31" si="0">D11*Q11</f>
        <v>11235</v>
      </c>
      <c r="S11" s="9">
        <f>S8</f>
        <v>4.41</v>
      </c>
      <c r="T11" s="9">
        <f>R11*S11</f>
        <v>49546.35</v>
      </c>
      <c r="U11" s="10">
        <v>72000</v>
      </c>
      <c r="V11" s="38">
        <f>SUM(U11-T11)</f>
        <v>22453.65</v>
      </c>
      <c r="W11" s="40"/>
      <c r="X11" s="11" t="s">
        <v>25</v>
      </c>
      <c r="Y11" s="12">
        <f>T11*20%</f>
        <v>9909.27</v>
      </c>
      <c r="Z11" s="12">
        <f>T11*16%</f>
        <v>7927.4160000000002</v>
      </c>
      <c r="AA11" s="12">
        <f>T11*2.1%</f>
        <v>1040.47335</v>
      </c>
      <c r="AB11" s="12">
        <f>T11*9.65%</f>
        <v>4781.2227750000002</v>
      </c>
      <c r="AC11" s="12">
        <f>T11*34.9%</f>
        <v>17291.676149999999</v>
      </c>
      <c r="AD11" s="12">
        <f>T11*0.066%</f>
        <v>32.700590999999996</v>
      </c>
      <c r="AE11" s="13"/>
      <c r="AF11" s="4"/>
    </row>
    <row r="12" spans="1:32" ht="14.25" customHeight="1" x14ac:dyDescent="0.25">
      <c r="A12" s="5">
        <v>2</v>
      </c>
      <c r="B12" s="6" t="s">
        <v>50</v>
      </c>
      <c r="C12" s="7" t="s">
        <v>7</v>
      </c>
      <c r="D12" s="5">
        <v>15</v>
      </c>
      <c r="E12" s="30">
        <f>760*S8</f>
        <v>3351.6</v>
      </c>
      <c r="F12" s="30">
        <f>760*S8</f>
        <v>3351.6</v>
      </c>
      <c r="G12" s="20">
        <f>1100*S8</f>
        <v>4851</v>
      </c>
      <c r="H12" s="20">
        <f>799*S8</f>
        <v>3523.59</v>
      </c>
      <c r="I12" s="19"/>
      <c r="J12" s="19"/>
      <c r="K12" s="19"/>
      <c r="L12" s="19"/>
      <c r="M12" s="19"/>
      <c r="N12" s="19"/>
      <c r="O12" s="20">
        <v>11000</v>
      </c>
      <c r="P12" s="19"/>
      <c r="Q12" s="8">
        <v>760</v>
      </c>
      <c r="R12" s="8">
        <f t="shared" si="0"/>
        <v>11400</v>
      </c>
      <c r="S12" s="9">
        <f>S8</f>
        <v>4.41</v>
      </c>
      <c r="T12" s="9">
        <f>R12*S12</f>
        <v>50274</v>
      </c>
      <c r="U12" s="10">
        <v>72000</v>
      </c>
      <c r="V12" s="38">
        <f>SUM(U12-T12)</f>
        <v>21726</v>
      </c>
      <c r="W12" s="40"/>
      <c r="X12" s="11" t="s">
        <v>25</v>
      </c>
      <c r="Y12" s="12">
        <f t="shared" ref="Y12:Y29" si="1">T12*20%</f>
        <v>10054.800000000001</v>
      </c>
      <c r="Z12" s="12">
        <f t="shared" ref="Z12:Z29" si="2">T12*16%</f>
        <v>8043.84</v>
      </c>
      <c r="AA12" s="12">
        <f t="shared" ref="AA12:AA29" si="3">T12*2.1%</f>
        <v>1055.7540000000001</v>
      </c>
      <c r="AB12" s="12">
        <f t="shared" ref="AB12:AB29" si="4">T12*9.65%</f>
        <v>4851.4409999999998</v>
      </c>
      <c r="AC12" s="12">
        <f t="shared" ref="AC12:AC29" si="5">T12*34.9%</f>
        <v>17545.626</v>
      </c>
      <c r="AD12" s="12">
        <f t="shared" ref="AD12:AD14" si="6">T12*0.066%</f>
        <v>33.180839999999996</v>
      </c>
      <c r="AE12" s="13"/>
      <c r="AF12" s="4"/>
    </row>
    <row r="13" spans="1:32" x14ac:dyDescent="0.25">
      <c r="A13" s="5">
        <v>3</v>
      </c>
      <c r="B13" s="14" t="s">
        <v>47</v>
      </c>
      <c r="C13" s="14" t="s">
        <v>7</v>
      </c>
      <c r="D13" s="5">
        <v>30</v>
      </c>
      <c r="E13" s="30">
        <f>124.6*S8</f>
        <v>549.48599999999999</v>
      </c>
      <c r="F13" s="19"/>
      <c r="G13" s="19"/>
      <c r="H13" s="20">
        <f>250*S8</f>
        <v>1102.5</v>
      </c>
      <c r="I13" s="19"/>
      <c r="J13" s="19"/>
      <c r="K13" s="30">
        <f>124.6*S8</f>
        <v>549.48599999999999</v>
      </c>
      <c r="L13" s="19"/>
      <c r="M13" s="19"/>
      <c r="N13" s="19"/>
      <c r="O13" s="20">
        <v>2250</v>
      </c>
      <c r="P13" s="19"/>
      <c r="Q13" s="18">
        <v>124.6</v>
      </c>
      <c r="R13" s="8">
        <f t="shared" si="0"/>
        <v>3738</v>
      </c>
      <c r="S13" s="9">
        <f>S8</f>
        <v>4.41</v>
      </c>
      <c r="T13" s="9">
        <f>R13*S13</f>
        <v>16484.580000000002</v>
      </c>
      <c r="U13" s="10">
        <v>24000</v>
      </c>
      <c r="V13" s="38">
        <f>SUM(U13-T13)</f>
        <v>7515.4199999999983</v>
      </c>
      <c r="W13" s="40"/>
      <c r="X13" s="13"/>
      <c r="Y13" s="12">
        <f t="shared" si="1"/>
        <v>3296.9160000000006</v>
      </c>
      <c r="Z13" s="12">
        <f t="shared" si="2"/>
        <v>2637.5328000000004</v>
      </c>
      <c r="AA13" s="12">
        <f t="shared" si="3"/>
        <v>346.17618000000004</v>
      </c>
      <c r="AB13" s="12">
        <f t="shared" si="4"/>
        <v>1590.7619700000002</v>
      </c>
      <c r="AC13" s="12">
        <f t="shared" si="5"/>
        <v>5753.1184199999998</v>
      </c>
      <c r="AD13" s="12">
        <f t="shared" si="6"/>
        <v>10.879822800000001</v>
      </c>
      <c r="AE13" s="13"/>
      <c r="AF13" s="4"/>
    </row>
    <row r="14" spans="1:32" x14ac:dyDescent="0.25">
      <c r="A14" s="5">
        <v>4</v>
      </c>
      <c r="B14" s="14" t="s">
        <v>71</v>
      </c>
      <c r="C14" s="13" t="s">
        <v>7</v>
      </c>
      <c r="D14" s="5">
        <v>30</v>
      </c>
      <c r="E14" s="30">
        <f>173*S8</f>
        <v>762.93000000000006</v>
      </c>
      <c r="F14" s="19"/>
      <c r="G14" s="19"/>
      <c r="H14" s="20">
        <f>330*S8</f>
        <v>1455.3</v>
      </c>
      <c r="I14" s="19"/>
      <c r="J14" s="19"/>
      <c r="K14" s="20">
        <f>173.6*S8</f>
        <v>765.57600000000002</v>
      </c>
      <c r="L14" s="19"/>
      <c r="M14" s="19"/>
      <c r="N14" s="19"/>
      <c r="O14" s="20">
        <v>2250</v>
      </c>
      <c r="P14" s="19"/>
      <c r="Q14" s="8">
        <v>173</v>
      </c>
      <c r="R14" s="8">
        <f t="shared" si="0"/>
        <v>5190</v>
      </c>
      <c r="S14" s="9">
        <f>S8</f>
        <v>4.41</v>
      </c>
      <c r="T14" s="9">
        <f>R14*S14</f>
        <v>22887.9</v>
      </c>
      <c r="U14" s="10">
        <v>24000</v>
      </c>
      <c r="V14" s="38">
        <f>SUM(U14-T14)</f>
        <v>1112.0999999999985</v>
      </c>
      <c r="W14" s="41"/>
      <c r="X14" s="13"/>
      <c r="Y14" s="12">
        <f t="shared" si="1"/>
        <v>4577.5800000000008</v>
      </c>
      <c r="Z14" s="12">
        <f t="shared" si="2"/>
        <v>3662.0640000000003</v>
      </c>
      <c r="AA14" s="12">
        <f t="shared" si="3"/>
        <v>480.64590000000004</v>
      </c>
      <c r="AB14" s="12">
        <f t="shared" si="4"/>
        <v>2208.68235</v>
      </c>
      <c r="AC14" s="12">
        <f t="shared" si="5"/>
        <v>7987.8770999999997</v>
      </c>
      <c r="AD14" s="12">
        <f t="shared" si="6"/>
        <v>15.106014</v>
      </c>
      <c r="AE14" s="13"/>
      <c r="AF14" s="4"/>
    </row>
    <row r="15" spans="1:32" ht="13.5" customHeight="1" x14ac:dyDescent="0.25">
      <c r="A15" s="5">
        <v>5</v>
      </c>
      <c r="B15" s="14" t="s">
        <v>16</v>
      </c>
      <c r="C15" s="13" t="s">
        <v>7</v>
      </c>
      <c r="D15" s="5">
        <v>110</v>
      </c>
      <c r="E15" s="20">
        <f>27*S8</f>
        <v>119.07000000000001</v>
      </c>
      <c r="F15" s="19"/>
      <c r="G15" s="19"/>
      <c r="H15" s="20">
        <f>149*S8</f>
        <v>657.09</v>
      </c>
      <c r="I15" s="19"/>
      <c r="J15" s="19"/>
      <c r="K15" s="19"/>
      <c r="L15" s="30">
        <v>71</v>
      </c>
      <c r="M15" s="19"/>
      <c r="N15" s="19"/>
      <c r="O15" s="19"/>
      <c r="P15" s="20">
        <v>103.21</v>
      </c>
      <c r="Q15" s="8">
        <v>0</v>
      </c>
      <c r="R15" s="8">
        <f t="shared" si="0"/>
        <v>0</v>
      </c>
      <c r="S15" s="9">
        <f>S8</f>
        <v>4.41</v>
      </c>
      <c r="T15" s="9">
        <v>7810</v>
      </c>
      <c r="U15" s="10">
        <v>7700</v>
      </c>
      <c r="V15" s="38"/>
      <c r="W15" s="41">
        <f t="shared" ref="W15" si="7">SUM(U15-T15)</f>
        <v>-110</v>
      </c>
      <c r="X15" s="15"/>
      <c r="Y15" s="12">
        <v>0</v>
      </c>
      <c r="Z15" s="12">
        <v>0</v>
      </c>
      <c r="AA15" s="12">
        <v>0</v>
      </c>
      <c r="AB15" s="12">
        <v>0</v>
      </c>
      <c r="AC15" s="12">
        <v>0</v>
      </c>
      <c r="AD15" s="13"/>
      <c r="AE15" s="13"/>
      <c r="AF15" s="4"/>
    </row>
    <row r="16" spans="1:32" x14ac:dyDescent="0.25">
      <c r="A16" s="5">
        <v>6</v>
      </c>
      <c r="B16" s="14" t="s">
        <v>19</v>
      </c>
      <c r="C16" s="13" t="s">
        <v>7</v>
      </c>
      <c r="D16" s="5">
        <v>55</v>
      </c>
      <c r="E16" s="20">
        <f>40*S8</f>
        <v>176.4</v>
      </c>
      <c r="F16" s="19"/>
      <c r="G16" s="19"/>
      <c r="H16" s="19"/>
      <c r="I16" s="19"/>
      <c r="J16" s="19"/>
      <c r="K16" s="19"/>
      <c r="L16" s="20">
        <v>270</v>
      </c>
      <c r="M16" s="30">
        <v>210</v>
      </c>
      <c r="N16" s="20">
        <v>245</v>
      </c>
      <c r="O16" s="19"/>
      <c r="P16" s="19"/>
      <c r="Q16" s="8">
        <v>0</v>
      </c>
      <c r="R16" s="8">
        <f t="shared" si="0"/>
        <v>0</v>
      </c>
      <c r="S16" s="9">
        <f>S8</f>
        <v>4.41</v>
      </c>
      <c r="T16" s="9">
        <v>11550</v>
      </c>
      <c r="U16" s="10">
        <v>13475</v>
      </c>
      <c r="V16" s="38">
        <f>SUM(U16-T16)</f>
        <v>1925</v>
      </c>
      <c r="W16" s="40"/>
      <c r="X16" s="13"/>
      <c r="Y16" s="12">
        <v>0</v>
      </c>
      <c r="Z16" s="12">
        <v>0</v>
      </c>
      <c r="AA16" s="12">
        <v>0</v>
      </c>
      <c r="AB16" s="12">
        <v>0</v>
      </c>
      <c r="AC16" s="12">
        <v>0</v>
      </c>
      <c r="AD16" s="12">
        <v>0</v>
      </c>
      <c r="AE16" s="13"/>
      <c r="AF16" s="4"/>
    </row>
    <row r="17" spans="1:32" x14ac:dyDescent="0.25">
      <c r="A17" s="5">
        <v>7</v>
      </c>
      <c r="B17" s="14" t="s">
        <v>18</v>
      </c>
      <c r="C17" s="13" t="s">
        <v>7</v>
      </c>
      <c r="D17" s="5">
        <v>55</v>
      </c>
      <c r="E17" s="20">
        <f>40*S8</f>
        <v>176.4</v>
      </c>
      <c r="F17" s="19"/>
      <c r="G17" s="19"/>
      <c r="H17" s="19"/>
      <c r="I17" s="19"/>
      <c r="J17" s="19"/>
      <c r="K17" s="19"/>
      <c r="L17" s="20">
        <v>270</v>
      </c>
      <c r="M17" s="30">
        <v>210</v>
      </c>
      <c r="N17" s="20">
        <v>245</v>
      </c>
      <c r="O17" s="19"/>
      <c r="P17" s="19"/>
      <c r="Q17" s="8">
        <v>40</v>
      </c>
      <c r="R17" s="8">
        <f t="shared" si="0"/>
        <v>2200</v>
      </c>
      <c r="S17" s="9">
        <f>S8</f>
        <v>4.41</v>
      </c>
      <c r="T17" s="9">
        <v>11550</v>
      </c>
      <c r="U17" s="10">
        <v>13475</v>
      </c>
      <c r="V17" s="38">
        <f>SUM(U17-T17)</f>
        <v>1925</v>
      </c>
      <c r="W17" s="40"/>
      <c r="X17" s="13"/>
      <c r="Y17" s="12">
        <v>0</v>
      </c>
      <c r="Z17" s="12">
        <v>0</v>
      </c>
      <c r="AA17" s="12">
        <v>0</v>
      </c>
      <c r="AB17" s="12">
        <v>0</v>
      </c>
      <c r="AC17" s="12">
        <v>0</v>
      </c>
      <c r="AD17" s="12">
        <v>0</v>
      </c>
      <c r="AE17" s="13"/>
      <c r="AF17" s="4"/>
    </row>
    <row r="18" spans="1:32" x14ac:dyDescent="0.25">
      <c r="A18" s="5">
        <v>8</v>
      </c>
      <c r="B18" s="14" t="s">
        <v>20</v>
      </c>
      <c r="C18" s="13" t="s">
        <v>7</v>
      </c>
      <c r="D18" s="5">
        <v>90</v>
      </c>
      <c r="E18" s="20">
        <f>30*S8</f>
        <v>132.30000000000001</v>
      </c>
      <c r="F18" s="19"/>
      <c r="G18" s="19"/>
      <c r="H18" s="19"/>
      <c r="I18" s="19"/>
      <c r="J18" s="19"/>
      <c r="K18" s="19"/>
      <c r="L18" s="20">
        <v>150</v>
      </c>
      <c r="M18" s="30">
        <v>108</v>
      </c>
      <c r="N18" s="20">
        <v>138</v>
      </c>
      <c r="O18" s="19"/>
      <c r="P18" s="19"/>
      <c r="Q18" s="8">
        <v>0</v>
      </c>
      <c r="R18" s="8">
        <f t="shared" si="0"/>
        <v>0</v>
      </c>
      <c r="S18" s="9">
        <f>S8</f>
        <v>4.41</v>
      </c>
      <c r="T18" s="9">
        <v>9720</v>
      </c>
      <c r="U18" s="10">
        <v>9720</v>
      </c>
      <c r="V18" s="38"/>
      <c r="W18" s="41">
        <f t="shared" ref="W18:W23" si="8">SUM(U18-T18)</f>
        <v>0</v>
      </c>
      <c r="X18" s="15"/>
      <c r="Y18" s="12">
        <v>0</v>
      </c>
      <c r="Z18" s="12">
        <v>0</v>
      </c>
      <c r="AA18" s="12">
        <v>0</v>
      </c>
      <c r="AB18" s="12">
        <v>0</v>
      </c>
      <c r="AC18" s="12">
        <v>0</v>
      </c>
      <c r="AD18" s="13"/>
      <c r="AE18" s="13"/>
      <c r="AF18" s="4"/>
    </row>
    <row r="19" spans="1:32" x14ac:dyDescent="0.25">
      <c r="A19" s="5">
        <v>9</v>
      </c>
      <c r="B19" s="16" t="s">
        <v>48</v>
      </c>
      <c r="C19" s="16" t="s">
        <v>7</v>
      </c>
      <c r="D19" s="17">
        <v>25</v>
      </c>
      <c r="E19" s="20">
        <f>300*S8</f>
        <v>1323</v>
      </c>
      <c r="F19" s="20">
        <f>660*S8</f>
        <v>2910.6</v>
      </c>
      <c r="G19" s="19"/>
      <c r="H19" s="19"/>
      <c r="I19" s="19"/>
      <c r="J19" s="19"/>
      <c r="K19" s="19"/>
      <c r="L19" s="19"/>
      <c r="M19" s="19"/>
      <c r="N19" s="19"/>
      <c r="O19" s="30">
        <v>980</v>
      </c>
      <c r="P19" s="19"/>
      <c r="Q19" s="18">
        <v>0</v>
      </c>
      <c r="R19" s="18">
        <f t="shared" si="0"/>
        <v>0</v>
      </c>
      <c r="S19" s="9">
        <f>S8</f>
        <v>4.41</v>
      </c>
      <c r="T19" s="19">
        <v>24500</v>
      </c>
      <c r="U19" s="10">
        <v>25000</v>
      </c>
      <c r="V19" s="38"/>
      <c r="W19" s="41">
        <f t="shared" si="8"/>
        <v>500</v>
      </c>
      <c r="X19" s="11" t="s">
        <v>25</v>
      </c>
      <c r="Y19" s="12">
        <v>0</v>
      </c>
      <c r="Z19" s="12">
        <v>0</v>
      </c>
      <c r="AA19" s="12">
        <v>0</v>
      </c>
      <c r="AB19" s="12">
        <v>0</v>
      </c>
      <c r="AC19" s="12">
        <v>0</v>
      </c>
      <c r="AD19" s="12">
        <v>0</v>
      </c>
      <c r="AE19" s="13"/>
      <c r="AF19" s="4"/>
    </row>
    <row r="20" spans="1:32" x14ac:dyDescent="0.25">
      <c r="A20" s="5">
        <v>10</v>
      </c>
      <c r="B20" s="13" t="s">
        <v>51</v>
      </c>
      <c r="C20" s="13" t="s">
        <v>53</v>
      </c>
      <c r="D20" s="5">
        <v>3</v>
      </c>
      <c r="E20" s="32">
        <f>800*S8</f>
        <v>3528</v>
      </c>
      <c r="F20" s="19"/>
      <c r="G20" s="20">
        <f>1900*S8</f>
        <v>8379</v>
      </c>
      <c r="H20" s="19"/>
      <c r="I20" s="19"/>
      <c r="J20" s="19"/>
      <c r="K20" s="19"/>
      <c r="L20" s="19"/>
      <c r="M20" s="19"/>
      <c r="N20" s="19"/>
      <c r="O20" s="30">
        <v>3450</v>
      </c>
      <c r="P20" s="19"/>
      <c r="Q20" s="33">
        <v>800</v>
      </c>
      <c r="R20" s="8">
        <f t="shared" si="0"/>
        <v>2400</v>
      </c>
      <c r="S20" s="9">
        <f>S8</f>
        <v>4.41</v>
      </c>
      <c r="T20" s="9">
        <f t="shared" ref="T20:T27" si="9">R20*S20</f>
        <v>10584</v>
      </c>
      <c r="U20" s="10">
        <v>10500</v>
      </c>
      <c r="V20" s="38"/>
      <c r="W20" s="41">
        <f t="shared" si="8"/>
        <v>-84</v>
      </c>
      <c r="X20" s="11" t="s">
        <v>25</v>
      </c>
      <c r="Y20" s="12">
        <f t="shared" si="1"/>
        <v>2116.8000000000002</v>
      </c>
      <c r="Z20" s="12">
        <f t="shared" si="2"/>
        <v>1693.44</v>
      </c>
      <c r="AA20" s="12">
        <f t="shared" si="3"/>
        <v>222.26400000000001</v>
      </c>
      <c r="AB20" s="12">
        <f t="shared" si="4"/>
        <v>1021.356</v>
      </c>
      <c r="AC20" s="12">
        <f t="shared" si="5"/>
        <v>3693.8159999999998</v>
      </c>
      <c r="AD20" s="12">
        <f t="shared" ref="AD20:AD27" si="10">T20*0.066%</f>
        <v>6.9854399999999996</v>
      </c>
      <c r="AE20" s="13"/>
      <c r="AF20" s="4"/>
    </row>
    <row r="21" spans="1:32" x14ac:dyDescent="0.25">
      <c r="A21" s="5">
        <v>11</v>
      </c>
      <c r="B21" s="6" t="s">
        <v>52</v>
      </c>
      <c r="C21" s="13" t="s">
        <v>53</v>
      </c>
      <c r="D21" s="5">
        <v>3</v>
      </c>
      <c r="E21" s="32">
        <f>1350*S8</f>
        <v>5953.5</v>
      </c>
      <c r="F21" s="19"/>
      <c r="G21" s="20">
        <f>1900*S8</f>
        <v>8379</v>
      </c>
      <c r="H21" s="19"/>
      <c r="I21" s="19"/>
      <c r="J21" s="19"/>
      <c r="K21" s="19"/>
      <c r="L21" s="19"/>
      <c r="M21" s="19"/>
      <c r="N21" s="19"/>
      <c r="O21" s="30">
        <v>5100</v>
      </c>
      <c r="P21" s="19"/>
      <c r="Q21" s="33">
        <v>1350</v>
      </c>
      <c r="R21" s="8">
        <f t="shared" si="0"/>
        <v>4050</v>
      </c>
      <c r="S21" s="9">
        <f>S8</f>
        <v>4.41</v>
      </c>
      <c r="T21" s="9">
        <f t="shared" si="9"/>
        <v>17860.5</v>
      </c>
      <c r="U21" s="10">
        <v>16500</v>
      </c>
      <c r="V21" s="38"/>
      <c r="W21" s="41">
        <f t="shared" si="8"/>
        <v>-1360.5</v>
      </c>
      <c r="X21" s="11" t="s">
        <v>25</v>
      </c>
      <c r="Y21" s="12">
        <f t="shared" si="1"/>
        <v>3572.1000000000004</v>
      </c>
      <c r="Z21" s="12">
        <f t="shared" si="2"/>
        <v>2857.68</v>
      </c>
      <c r="AA21" s="12">
        <f t="shared" si="3"/>
        <v>375.07050000000004</v>
      </c>
      <c r="AB21" s="12">
        <f t="shared" si="4"/>
        <v>1723.5382500000001</v>
      </c>
      <c r="AC21" s="12">
        <f t="shared" si="5"/>
        <v>6233.3144999999995</v>
      </c>
      <c r="AD21" s="12">
        <f t="shared" si="10"/>
        <v>11.787929999999999</v>
      </c>
      <c r="AE21" s="13"/>
      <c r="AF21" s="4"/>
    </row>
    <row r="22" spans="1:32" x14ac:dyDescent="0.25">
      <c r="A22" s="5">
        <v>12</v>
      </c>
      <c r="B22" s="13" t="s">
        <v>14</v>
      </c>
      <c r="C22" s="13" t="s">
        <v>53</v>
      </c>
      <c r="D22" s="5">
        <v>5</v>
      </c>
      <c r="E22" s="30">
        <f>119*S8</f>
        <v>524.79</v>
      </c>
      <c r="F22" s="19"/>
      <c r="G22" s="19"/>
      <c r="H22" s="20">
        <f>250*S17</f>
        <v>1102.5</v>
      </c>
      <c r="I22" s="19"/>
      <c r="J22" s="19"/>
      <c r="K22" s="20">
        <f>119*S8</f>
        <v>524.79</v>
      </c>
      <c r="L22" s="19"/>
      <c r="M22" s="19"/>
      <c r="N22" s="19"/>
      <c r="O22" s="20">
        <v>2300</v>
      </c>
      <c r="P22" s="19"/>
      <c r="Q22" s="18">
        <v>119</v>
      </c>
      <c r="R22" s="8">
        <f t="shared" si="0"/>
        <v>595</v>
      </c>
      <c r="S22" s="9">
        <f>S8</f>
        <v>4.41</v>
      </c>
      <c r="T22" s="9">
        <f t="shared" si="9"/>
        <v>2623.9500000000003</v>
      </c>
      <c r="U22" s="10">
        <v>3750</v>
      </c>
      <c r="V22" s="38">
        <f>SUM(U22-T22)</f>
        <v>1126.0499999999997</v>
      </c>
      <c r="W22" s="41"/>
      <c r="X22" s="13"/>
      <c r="Y22" s="12">
        <f t="shared" si="1"/>
        <v>524.79000000000008</v>
      </c>
      <c r="Z22" s="12">
        <f t="shared" si="2"/>
        <v>419.83200000000005</v>
      </c>
      <c r="AA22" s="12">
        <f t="shared" si="3"/>
        <v>55.102950000000007</v>
      </c>
      <c r="AB22" s="12">
        <f t="shared" si="4"/>
        <v>253.21117500000003</v>
      </c>
      <c r="AC22" s="12">
        <f t="shared" si="5"/>
        <v>915.75855000000001</v>
      </c>
      <c r="AD22" s="12">
        <f t="shared" si="10"/>
        <v>1.7318070000000001</v>
      </c>
      <c r="AE22" s="13"/>
      <c r="AF22" s="4"/>
    </row>
    <row r="23" spans="1:32" x14ac:dyDescent="0.25">
      <c r="A23" s="5">
        <v>13</v>
      </c>
      <c r="B23" s="13" t="s">
        <v>15</v>
      </c>
      <c r="C23" s="13" t="s">
        <v>53</v>
      </c>
      <c r="D23" s="5">
        <v>9</v>
      </c>
      <c r="E23" s="30">
        <f>182*S8</f>
        <v>802.62</v>
      </c>
      <c r="F23" s="19"/>
      <c r="G23" s="19"/>
      <c r="H23" s="20">
        <f>330*S17</f>
        <v>1455.3</v>
      </c>
      <c r="I23" s="19"/>
      <c r="J23" s="19"/>
      <c r="K23" s="20">
        <f>182*S8</f>
        <v>802.62</v>
      </c>
      <c r="L23" s="19"/>
      <c r="M23" s="19"/>
      <c r="N23" s="19"/>
      <c r="O23" s="20">
        <v>2200</v>
      </c>
      <c r="P23" s="19"/>
      <c r="Q23" s="18">
        <v>182</v>
      </c>
      <c r="R23" s="8">
        <f t="shared" si="0"/>
        <v>1638</v>
      </c>
      <c r="S23" s="9">
        <f>S8</f>
        <v>4.41</v>
      </c>
      <c r="T23" s="9">
        <f t="shared" si="9"/>
        <v>7223.58</v>
      </c>
      <c r="U23" s="10">
        <v>6300</v>
      </c>
      <c r="V23" s="38"/>
      <c r="W23" s="41">
        <f t="shared" si="8"/>
        <v>-923.57999999999993</v>
      </c>
      <c r="X23" s="13"/>
      <c r="Y23" s="12">
        <f t="shared" si="1"/>
        <v>1444.7160000000001</v>
      </c>
      <c r="Z23" s="12">
        <f t="shared" si="2"/>
        <v>1155.7728</v>
      </c>
      <c r="AA23" s="12">
        <f t="shared" si="3"/>
        <v>151.69518000000002</v>
      </c>
      <c r="AB23" s="12">
        <f t="shared" si="4"/>
        <v>697.07547</v>
      </c>
      <c r="AC23" s="12">
        <f t="shared" si="5"/>
        <v>2521.0294199999998</v>
      </c>
      <c r="AD23" s="12">
        <f t="shared" si="10"/>
        <v>4.7675628000000003</v>
      </c>
      <c r="AE23" s="13"/>
      <c r="AF23" s="4"/>
    </row>
    <row r="24" spans="1:32" x14ac:dyDescent="0.25">
      <c r="A24" s="5">
        <v>14</v>
      </c>
      <c r="B24" s="13" t="s">
        <v>20</v>
      </c>
      <c r="C24" s="13" t="s">
        <v>53</v>
      </c>
      <c r="D24" s="5">
        <v>14</v>
      </c>
      <c r="E24" s="20">
        <f>30*S8</f>
        <v>132.30000000000001</v>
      </c>
      <c r="F24" s="19"/>
      <c r="G24" s="19"/>
      <c r="H24" s="19"/>
      <c r="I24" s="19"/>
      <c r="J24" s="19"/>
      <c r="K24" s="19"/>
      <c r="L24" s="20">
        <v>150</v>
      </c>
      <c r="M24" s="30">
        <v>108</v>
      </c>
      <c r="N24" s="20">
        <v>138</v>
      </c>
      <c r="O24" s="19"/>
      <c r="P24" s="19"/>
      <c r="Q24" s="8">
        <v>0</v>
      </c>
      <c r="R24" s="8">
        <f t="shared" si="0"/>
        <v>0</v>
      </c>
      <c r="S24" s="9">
        <f>S8</f>
        <v>4.41</v>
      </c>
      <c r="T24" s="9">
        <v>1512</v>
      </c>
      <c r="U24" s="10">
        <v>2800</v>
      </c>
      <c r="V24" s="38">
        <f>SUM(U24-T24)</f>
        <v>1288</v>
      </c>
      <c r="W24" s="40"/>
      <c r="X24" s="15" t="s">
        <v>27</v>
      </c>
      <c r="Y24" s="12">
        <v>0</v>
      </c>
      <c r="Z24" s="12">
        <v>0</v>
      </c>
      <c r="AA24" s="12">
        <v>0</v>
      </c>
      <c r="AB24" s="12">
        <v>0</v>
      </c>
      <c r="AC24" s="12">
        <v>0</v>
      </c>
      <c r="AD24" s="12">
        <v>0</v>
      </c>
      <c r="AE24" s="13"/>
      <c r="AF24" s="4"/>
    </row>
    <row r="25" spans="1:32" x14ac:dyDescent="0.25">
      <c r="A25" s="5">
        <v>15</v>
      </c>
      <c r="B25" s="13" t="s">
        <v>45</v>
      </c>
      <c r="C25" s="13" t="s">
        <v>8</v>
      </c>
      <c r="D25" s="17">
        <v>0</v>
      </c>
      <c r="E25" s="30">
        <f>730*S8</f>
        <v>3219.3</v>
      </c>
      <c r="F25" s="20">
        <f>730*S8</f>
        <v>3219.3</v>
      </c>
      <c r="G25" s="19"/>
      <c r="H25" s="19"/>
      <c r="I25" s="19"/>
      <c r="J25" s="19"/>
      <c r="K25" s="19"/>
      <c r="L25" s="19"/>
      <c r="M25" s="19"/>
      <c r="N25" s="19"/>
      <c r="O25" s="32">
        <v>2700</v>
      </c>
      <c r="P25" s="19"/>
      <c r="Q25" s="18">
        <v>730</v>
      </c>
      <c r="R25" s="8">
        <f t="shared" si="0"/>
        <v>0</v>
      </c>
      <c r="S25" s="9">
        <f>S8</f>
        <v>4.41</v>
      </c>
      <c r="T25" s="9">
        <f t="shared" si="9"/>
        <v>0</v>
      </c>
      <c r="U25" s="10">
        <v>0</v>
      </c>
      <c r="V25" s="38"/>
      <c r="W25" s="41">
        <f t="shared" ref="W25:W30" si="11">SUM(U25-T25)</f>
        <v>0</v>
      </c>
      <c r="X25" s="13"/>
      <c r="Y25" s="12">
        <f t="shared" si="1"/>
        <v>0</v>
      </c>
      <c r="Z25" s="12">
        <f t="shared" si="2"/>
        <v>0</v>
      </c>
      <c r="AA25" s="12">
        <f t="shared" si="3"/>
        <v>0</v>
      </c>
      <c r="AB25" s="12">
        <f t="shared" si="4"/>
        <v>0</v>
      </c>
      <c r="AC25" s="12">
        <f t="shared" si="5"/>
        <v>0</v>
      </c>
      <c r="AD25" s="12">
        <f t="shared" si="10"/>
        <v>0</v>
      </c>
      <c r="AE25" s="13"/>
      <c r="AF25" s="4"/>
    </row>
    <row r="26" spans="1:32" x14ac:dyDescent="0.25">
      <c r="A26" s="5">
        <v>16</v>
      </c>
      <c r="B26" s="13" t="s">
        <v>68</v>
      </c>
      <c r="C26" s="13" t="s">
        <v>8</v>
      </c>
      <c r="D26" s="17">
        <v>16</v>
      </c>
      <c r="E26" s="30">
        <f>180*S8</f>
        <v>793.80000000000007</v>
      </c>
      <c r="F26" s="19"/>
      <c r="G26" s="19"/>
      <c r="H26" s="19"/>
      <c r="I26" s="19"/>
      <c r="J26" s="20">
        <f>245*S8</f>
        <v>1080.45</v>
      </c>
      <c r="K26" s="20">
        <f>189*S8</f>
        <v>833.49</v>
      </c>
      <c r="L26" s="19"/>
      <c r="M26" s="19"/>
      <c r="N26" s="19"/>
      <c r="O26" s="20">
        <v>2100</v>
      </c>
      <c r="P26" s="19"/>
      <c r="Q26" s="18">
        <v>180</v>
      </c>
      <c r="R26" s="8">
        <f t="shared" si="0"/>
        <v>2880</v>
      </c>
      <c r="S26" s="9">
        <f>S8</f>
        <v>4.41</v>
      </c>
      <c r="T26" s="9">
        <f t="shared" si="9"/>
        <v>12700.800000000001</v>
      </c>
      <c r="U26" s="10">
        <v>0</v>
      </c>
      <c r="V26" s="38"/>
      <c r="W26" s="41">
        <f t="shared" ref="W26" si="12">SUM(U26-T26)</f>
        <v>-12700.800000000001</v>
      </c>
      <c r="X26" s="13"/>
      <c r="Y26" s="12">
        <f t="shared" ref="Y26" si="13">T26*20%</f>
        <v>2540.1600000000003</v>
      </c>
      <c r="Z26" s="12">
        <f t="shared" si="2"/>
        <v>2032.1280000000002</v>
      </c>
      <c r="AA26" s="12">
        <f t="shared" ref="AA26" si="14">T26*2.1%</f>
        <v>266.71680000000003</v>
      </c>
      <c r="AB26" s="12">
        <f t="shared" si="4"/>
        <v>1225.6272000000001</v>
      </c>
      <c r="AC26" s="12">
        <f t="shared" si="5"/>
        <v>4432.5792000000001</v>
      </c>
      <c r="AD26" s="12">
        <f t="shared" si="10"/>
        <v>8.3825280000000006</v>
      </c>
      <c r="AE26" s="13"/>
      <c r="AF26" s="4"/>
    </row>
    <row r="27" spans="1:32" x14ac:dyDescent="0.25">
      <c r="A27" s="5">
        <v>17</v>
      </c>
      <c r="B27" s="16" t="s">
        <v>22</v>
      </c>
      <c r="C27" s="16" t="s">
        <v>8</v>
      </c>
      <c r="D27" s="17">
        <v>40</v>
      </c>
      <c r="E27" s="19"/>
      <c r="F27" s="20">
        <f>420*S8</f>
        <v>1852.2</v>
      </c>
      <c r="G27" s="19"/>
      <c r="H27" s="19"/>
      <c r="I27" s="32">
        <f>550*S8</f>
        <v>2425.5</v>
      </c>
      <c r="J27" s="20">
        <f>360*S9</f>
        <v>1396.8</v>
      </c>
      <c r="K27" s="19"/>
      <c r="L27" s="19"/>
      <c r="M27" s="19"/>
      <c r="N27" s="19"/>
      <c r="O27" s="19"/>
      <c r="P27" s="19"/>
      <c r="Q27" s="33">
        <v>550</v>
      </c>
      <c r="R27" s="18">
        <f t="shared" si="0"/>
        <v>22000</v>
      </c>
      <c r="S27" s="19">
        <f>S8</f>
        <v>4.41</v>
      </c>
      <c r="T27" s="19">
        <f t="shared" si="9"/>
        <v>97020</v>
      </c>
      <c r="U27" s="28">
        <v>85024</v>
      </c>
      <c r="V27" s="38"/>
      <c r="W27" s="41">
        <f t="shared" si="11"/>
        <v>-11996</v>
      </c>
      <c r="X27" s="13"/>
      <c r="Y27" s="12">
        <f t="shared" si="1"/>
        <v>19404</v>
      </c>
      <c r="Z27" s="12">
        <f t="shared" si="2"/>
        <v>15523.2</v>
      </c>
      <c r="AA27" s="12">
        <f t="shared" si="3"/>
        <v>2037.42</v>
      </c>
      <c r="AB27" s="12">
        <f t="shared" si="4"/>
        <v>9362.43</v>
      </c>
      <c r="AC27" s="12">
        <f t="shared" si="5"/>
        <v>33859.979999999996</v>
      </c>
      <c r="AD27" s="12">
        <f t="shared" si="10"/>
        <v>64.033199999999994</v>
      </c>
      <c r="AE27" s="13"/>
      <c r="AF27" s="4"/>
    </row>
    <row r="28" spans="1:32" x14ac:dyDescent="0.25">
      <c r="A28" s="5">
        <v>18</v>
      </c>
      <c r="B28" s="13" t="s">
        <v>12</v>
      </c>
      <c r="C28" s="13" t="s">
        <v>8</v>
      </c>
      <c r="D28" s="5">
        <v>80</v>
      </c>
      <c r="E28" s="20">
        <f>180*S8</f>
        <v>793.80000000000007</v>
      </c>
      <c r="F28" s="19"/>
      <c r="G28" s="19"/>
      <c r="H28" s="19"/>
      <c r="I28" s="19"/>
      <c r="J28" s="20">
        <f>245*S9</f>
        <v>950.6</v>
      </c>
      <c r="K28" s="20">
        <f>189*S8</f>
        <v>833.49</v>
      </c>
      <c r="L28" s="30">
        <v>104</v>
      </c>
      <c r="M28" s="19"/>
      <c r="N28" s="19"/>
      <c r="O28" s="19"/>
      <c r="P28" s="20">
        <v>130.97999999999999</v>
      </c>
      <c r="Q28" s="8">
        <v>0</v>
      </c>
      <c r="R28" s="8">
        <f t="shared" si="0"/>
        <v>0</v>
      </c>
      <c r="S28" s="9">
        <f>S8</f>
        <v>4.41</v>
      </c>
      <c r="T28" s="9">
        <v>8320</v>
      </c>
      <c r="U28" s="10">
        <v>10400</v>
      </c>
      <c r="V28" s="38">
        <f>SUM(U28-T28)</f>
        <v>2080</v>
      </c>
      <c r="W28" s="41"/>
      <c r="X28" s="13"/>
      <c r="Y28" s="12">
        <v>0</v>
      </c>
      <c r="Z28" s="12">
        <v>0</v>
      </c>
      <c r="AA28" s="12">
        <v>0</v>
      </c>
      <c r="AB28" s="12">
        <v>0</v>
      </c>
      <c r="AC28" s="12">
        <v>0</v>
      </c>
      <c r="AD28" s="13"/>
      <c r="AE28" s="13"/>
      <c r="AF28" s="4"/>
    </row>
    <row r="29" spans="1:32" x14ac:dyDescent="0.25">
      <c r="A29" s="5">
        <v>19</v>
      </c>
      <c r="B29" s="13" t="s">
        <v>13</v>
      </c>
      <c r="C29" s="13" t="s">
        <v>8</v>
      </c>
      <c r="D29" s="5">
        <v>80</v>
      </c>
      <c r="E29" s="20">
        <f>70*S8</f>
        <v>308.7</v>
      </c>
      <c r="F29" s="19"/>
      <c r="G29" s="19"/>
      <c r="H29" s="19"/>
      <c r="I29" s="19"/>
      <c r="J29" s="20">
        <f>85*S9</f>
        <v>329.8</v>
      </c>
      <c r="K29" s="19"/>
      <c r="L29" s="30">
        <v>179</v>
      </c>
      <c r="M29" s="19"/>
      <c r="N29" s="19"/>
      <c r="O29" s="19"/>
      <c r="P29" s="32">
        <v>103.21</v>
      </c>
      <c r="Q29" s="8">
        <v>0</v>
      </c>
      <c r="R29" s="8">
        <f t="shared" si="0"/>
        <v>0</v>
      </c>
      <c r="S29" s="9">
        <f>S8</f>
        <v>4.41</v>
      </c>
      <c r="T29" s="9">
        <v>14320</v>
      </c>
      <c r="U29" s="10">
        <v>8160</v>
      </c>
      <c r="V29" s="38"/>
      <c r="W29" s="41">
        <f t="shared" si="11"/>
        <v>-6160</v>
      </c>
      <c r="X29" s="15" t="s">
        <v>26</v>
      </c>
      <c r="Y29" s="12">
        <f t="shared" si="1"/>
        <v>2864</v>
      </c>
      <c r="Z29" s="12">
        <f t="shared" si="2"/>
        <v>2291.2000000000003</v>
      </c>
      <c r="AA29" s="12">
        <f t="shared" si="3"/>
        <v>300.72000000000003</v>
      </c>
      <c r="AB29" s="12">
        <f t="shared" si="4"/>
        <v>1381.88</v>
      </c>
      <c r="AC29" s="12">
        <f t="shared" si="5"/>
        <v>4997.6799999999994</v>
      </c>
      <c r="AD29" s="12">
        <f t="shared" ref="AD29" si="15">T29*0.066%</f>
        <v>9.4512</v>
      </c>
      <c r="AE29" s="13"/>
      <c r="AF29" s="4"/>
    </row>
    <row r="30" spans="1:32" x14ac:dyDescent="0.25">
      <c r="A30" s="5">
        <v>20</v>
      </c>
      <c r="B30" s="13" t="s">
        <v>17</v>
      </c>
      <c r="C30" s="13" t="s">
        <v>8</v>
      </c>
      <c r="D30" s="5">
        <v>80</v>
      </c>
      <c r="E30" s="20">
        <f>48*S8</f>
        <v>211.68</v>
      </c>
      <c r="F30" s="19"/>
      <c r="G30" s="19"/>
      <c r="H30" s="19"/>
      <c r="I30" s="19"/>
      <c r="J30" s="19"/>
      <c r="K30" s="19"/>
      <c r="L30" s="20">
        <v>270</v>
      </c>
      <c r="M30" s="30">
        <v>210</v>
      </c>
      <c r="N30" s="20">
        <v>245</v>
      </c>
      <c r="O30" s="19"/>
      <c r="P30" s="19"/>
      <c r="Q30" s="8">
        <v>0</v>
      </c>
      <c r="R30" s="8">
        <f t="shared" si="0"/>
        <v>0</v>
      </c>
      <c r="S30" s="9">
        <f>S8</f>
        <v>4.41</v>
      </c>
      <c r="T30" s="9">
        <v>16800</v>
      </c>
      <c r="U30" s="10">
        <v>16800</v>
      </c>
      <c r="V30" s="38"/>
      <c r="W30" s="41">
        <f t="shared" si="11"/>
        <v>0</v>
      </c>
      <c r="X30" s="13"/>
      <c r="Y30" s="12">
        <v>0</v>
      </c>
      <c r="Z30" s="12">
        <v>0</v>
      </c>
      <c r="AA30" s="12">
        <v>0</v>
      </c>
      <c r="AB30" s="12">
        <v>0</v>
      </c>
      <c r="AC30" s="12">
        <v>0</v>
      </c>
      <c r="AD30" s="12">
        <v>0</v>
      </c>
      <c r="AE30" s="13"/>
      <c r="AF30" s="4"/>
    </row>
    <row r="31" spans="1:32" x14ac:dyDescent="0.25">
      <c r="A31" s="5">
        <v>21</v>
      </c>
      <c r="B31" s="13" t="s">
        <v>20</v>
      </c>
      <c r="C31" s="13" t="s">
        <v>8</v>
      </c>
      <c r="D31" s="5">
        <v>80</v>
      </c>
      <c r="E31" s="20">
        <f>50*S8</f>
        <v>220.5</v>
      </c>
      <c r="F31" s="19"/>
      <c r="G31" s="19"/>
      <c r="H31" s="19"/>
      <c r="I31" s="19"/>
      <c r="J31" s="19"/>
      <c r="K31" s="19"/>
      <c r="L31" s="20">
        <v>150</v>
      </c>
      <c r="M31" s="30">
        <v>108</v>
      </c>
      <c r="N31" s="20">
        <v>138</v>
      </c>
      <c r="O31" s="19"/>
      <c r="P31" s="19"/>
      <c r="Q31" s="8"/>
      <c r="R31" s="8">
        <f t="shared" si="0"/>
        <v>0</v>
      </c>
      <c r="S31" s="9">
        <f>S8</f>
        <v>4.41</v>
      </c>
      <c r="T31" s="9">
        <v>8640</v>
      </c>
      <c r="U31" s="10">
        <v>8640</v>
      </c>
      <c r="V31" s="38"/>
      <c r="W31" s="41">
        <f t="shared" ref="W31" si="16">SUM(U31-T31)</f>
        <v>0</v>
      </c>
      <c r="X31" s="15" t="s">
        <v>27</v>
      </c>
      <c r="Y31" s="12">
        <v>0</v>
      </c>
      <c r="Z31" s="12">
        <v>0</v>
      </c>
      <c r="AA31" s="12">
        <v>0</v>
      </c>
      <c r="AB31" s="12">
        <v>0</v>
      </c>
      <c r="AC31" s="12">
        <v>0</v>
      </c>
      <c r="AD31" s="13"/>
      <c r="AE31" s="13"/>
      <c r="AF31" s="4"/>
    </row>
    <row r="32" spans="1:32" x14ac:dyDescent="0.25">
      <c r="A32" s="4"/>
      <c r="B32" s="4"/>
      <c r="C32" s="4"/>
      <c r="D32" s="4"/>
      <c r="E32" s="4"/>
      <c r="F32" s="4"/>
      <c r="G32" s="4"/>
      <c r="H32" s="4"/>
      <c r="I32" s="4"/>
      <c r="J32" s="4"/>
      <c r="K32" s="4"/>
      <c r="L32" s="4"/>
      <c r="M32" s="4"/>
      <c r="N32" s="4"/>
      <c r="O32" s="4"/>
      <c r="P32" s="4"/>
      <c r="Q32" s="4"/>
      <c r="R32" s="4"/>
      <c r="S32" s="4"/>
      <c r="T32" s="42">
        <f>SUM(T11:T31)</f>
        <v>401927.66000000003</v>
      </c>
      <c r="U32" s="22">
        <f>SUM(U11:U31)</f>
        <v>430244</v>
      </c>
      <c r="V32" s="21">
        <f>SUM(V11:V31)</f>
        <v>61151.22</v>
      </c>
      <c r="W32" s="21">
        <f>SUM(W11:W31)</f>
        <v>-32834.880000000005</v>
      </c>
      <c r="X32" s="4"/>
      <c r="Y32" s="21">
        <f t="shared" ref="Y32:AD32" si="17">SUM(Y11:Y31)</f>
        <v>60305.132000000005</v>
      </c>
      <c r="Z32" s="21">
        <f t="shared" si="17"/>
        <v>48244.105599999995</v>
      </c>
      <c r="AA32" s="21">
        <f t="shared" si="17"/>
        <v>6332.0388600000006</v>
      </c>
      <c r="AB32" s="21">
        <f t="shared" si="17"/>
        <v>29097.226189999998</v>
      </c>
      <c r="AC32" s="21">
        <f t="shared" si="17"/>
        <v>105232.45533999999</v>
      </c>
      <c r="AD32" s="21">
        <f t="shared" si="17"/>
        <v>199.00693559999999</v>
      </c>
      <c r="AE32" s="4"/>
      <c r="AF32" s="4"/>
    </row>
    <row r="33" spans="1:32" x14ac:dyDescent="0.2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row>
    <row r="34" spans="1:32" x14ac:dyDescent="0.25">
      <c r="A34" s="17">
        <v>1</v>
      </c>
      <c r="B34" s="13" t="s">
        <v>23</v>
      </c>
      <c r="C34" s="13" t="s">
        <v>21</v>
      </c>
      <c r="D34" s="17">
        <v>1</v>
      </c>
      <c r="E34" s="18">
        <v>1400</v>
      </c>
      <c r="F34" s="9">
        <f>S8</f>
        <v>4.41</v>
      </c>
      <c r="G34" s="9">
        <f>E34*F34</f>
        <v>6174</v>
      </c>
      <c r="H34" s="4"/>
      <c r="I34" s="4"/>
      <c r="J34" s="4"/>
      <c r="K34" s="4"/>
      <c r="L34" s="4"/>
      <c r="M34" s="4"/>
      <c r="N34" s="4"/>
      <c r="O34" s="4"/>
      <c r="P34" s="4"/>
      <c r="Q34" s="4"/>
      <c r="R34" s="4"/>
      <c r="S34" s="4"/>
      <c r="T34" s="4"/>
      <c r="U34" s="4"/>
      <c r="V34" s="4"/>
      <c r="W34" s="4"/>
      <c r="X34" s="4"/>
      <c r="Y34" s="4"/>
      <c r="Z34" s="4"/>
      <c r="AA34" s="4"/>
      <c r="AB34" s="4"/>
      <c r="AC34" s="4"/>
      <c r="AD34" s="4"/>
      <c r="AE34" s="4"/>
      <c r="AF34" s="4"/>
    </row>
    <row r="35" spans="1:32" x14ac:dyDescent="0.25">
      <c r="A35" s="17">
        <v>2</v>
      </c>
      <c r="B35" s="13" t="s">
        <v>35</v>
      </c>
      <c r="C35" s="13" t="s">
        <v>21</v>
      </c>
      <c r="D35" s="17">
        <v>1</v>
      </c>
      <c r="E35" s="13"/>
      <c r="F35" s="13"/>
      <c r="G35" s="12">
        <f>SUM(Y32:AE32)</f>
        <v>249409.96492559995</v>
      </c>
      <c r="H35" s="4"/>
      <c r="I35" s="4"/>
      <c r="J35" s="4"/>
      <c r="K35" s="4"/>
      <c r="L35" s="21">
        <f>U32+G49</f>
        <v>755268</v>
      </c>
      <c r="M35" s="4"/>
      <c r="N35" s="4"/>
      <c r="O35" s="4"/>
      <c r="P35" s="4"/>
      <c r="Q35" s="4"/>
      <c r="R35" s="4"/>
      <c r="S35" s="4"/>
      <c r="T35" s="4"/>
      <c r="U35" s="4"/>
      <c r="V35" s="4"/>
      <c r="W35" s="4"/>
      <c r="X35" s="4"/>
      <c r="Y35" s="4"/>
      <c r="Z35" s="4"/>
      <c r="AA35" s="4"/>
      <c r="AB35" s="4"/>
      <c r="AC35" s="4"/>
      <c r="AD35" s="4"/>
      <c r="AE35" s="4"/>
      <c r="AF35" s="4"/>
    </row>
    <row r="36" spans="1:32" x14ac:dyDescent="0.25">
      <c r="A36" s="17">
        <v>3</v>
      </c>
      <c r="B36" s="16" t="s">
        <v>33</v>
      </c>
      <c r="C36" s="13" t="s">
        <v>21</v>
      </c>
      <c r="D36" s="15">
        <v>1</v>
      </c>
      <c r="E36" s="18">
        <v>980</v>
      </c>
      <c r="F36" s="9">
        <f>S8</f>
        <v>4.41</v>
      </c>
      <c r="G36" s="9">
        <f>E36*F36</f>
        <v>4321.8</v>
      </c>
      <c r="H36" s="4"/>
      <c r="I36" s="4"/>
      <c r="J36" s="4"/>
      <c r="K36" s="4"/>
      <c r="L36" s="4"/>
      <c r="M36" s="4"/>
      <c r="N36" s="4"/>
      <c r="O36" s="21"/>
      <c r="P36" s="4"/>
      <c r="Q36" s="4"/>
      <c r="R36" s="4"/>
      <c r="S36" s="4"/>
      <c r="T36" s="4"/>
      <c r="U36" s="4"/>
      <c r="V36" s="4"/>
      <c r="W36" s="4"/>
      <c r="X36" s="4"/>
      <c r="Y36" s="4"/>
      <c r="Z36" s="4"/>
      <c r="AA36" s="21"/>
      <c r="AB36" s="4"/>
      <c r="AC36" s="4"/>
      <c r="AD36" s="4"/>
      <c r="AE36" s="4"/>
      <c r="AF36" s="4"/>
    </row>
    <row r="37" spans="1:32" x14ac:dyDescent="0.25">
      <c r="A37" s="17">
        <v>4</v>
      </c>
      <c r="B37" s="16" t="s">
        <v>34</v>
      </c>
      <c r="C37" s="13" t="s">
        <v>21</v>
      </c>
      <c r="D37" s="15">
        <v>1</v>
      </c>
      <c r="E37" s="13"/>
      <c r="F37" s="13"/>
      <c r="G37" s="23">
        <v>5708.05</v>
      </c>
      <c r="H37" s="4"/>
      <c r="I37" s="4"/>
      <c r="J37" s="4"/>
      <c r="K37" s="4"/>
      <c r="L37" s="21">
        <f>T32+G47</f>
        <v>691864.93505560001</v>
      </c>
      <c r="M37" s="4"/>
      <c r="N37" s="4"/>
      <c r="O37" s="21"/>
      <c r="P37" s="4"/>
      <c r="Q37" s="4"/>
      <c r="R37" s="4"/>
      <c r="S37" s="4"/>
      <c r="T37" s="4"/>
      <c r="U37" s="4"/>
      <c r="V37" s="4"/>
      <c r="W37" s="4"/>
      <c r="X37" s="4"/>
      <c r="Y37" s="4"/>
      <c r="Z37" s="4"/>
      <c r="AA37" s="21"/>
      <c r="AB37" s="4"/>
      <c r="AC37" s="4"/>
      <c r="AD37" s="4"/>
      <c r="AE37" s="4"/>
      <c r="AF37" s="4"/>
    </row>
    <row r="38" spans="1:32" x14ac:dyDescent="0.25">
      <c r="A38" s="17">
        <v>5</v>
      </c>
      <c r="B38" s="31" t="s">
        <v>69</v>
      </c>
      <c r="C38" s="13" t="s">
        <v>21</v>
      </c>
      <c r="D38" s="15">
        <v>1</v>
      </c>
      <c r="E38" s="13"/>
      <c r="F38" s="13"/>
      <c r="G38" s="24">
        <v>6463.9476299999997</v>
      </c>
      <c r="H38" s="4"/>
      <c r="I38" s="4"/>
      <c r="J38" s="4"/>
      <c r="K38" s="4"/>
      <c r="L38" s="4"/>
      <c r="M38" s="4"/>
      <c r="N38" s="4"/>
      <c r="O38" s="21"/>
      <c r="P38" s="4"/>
      <c r="Q38" s="4"/>
      <c r="R38" s="4"/>
      <c r="S38" s="4"/>
      <c r="T38" s="4"/>
      <c r="U38" s="4"/>
      <c r="V38" s="4"/>
      <c r="W38" s="4"/>
      <c r="X38" s="4"/>
      <c r="Y38" s="4"/>
      <c r="Z38" s="4"/>
      <c r="AA38" s="21"/>
      <c r="AB38" s="4"/>
      <c r="AC38" s="4"/>
      <c r="AD38" s="4"/>
      <c r="AE38" s="4"/>
      <c r="AF38" s="4"/>
    </row>
    <row r="39" spans="1:32" x14ac:dyDescent="0.25">
      <c r="A39" s="17">
        <v>6</v>
      </c>
      <c r="B39" s="31" t="s">
        <v>37</v>
      </c>
      <c r="C39" s="13" t="s">
        <v>21</v>
      </c>
      <c r="D39" s="15">
        <v>1</v>
      </c>
      <c r="E39" s="13"/>
      <c r="F39" s="13"/>
      <c r="G39" s="24">
        <v>950</v>
      </c>
      <c r="H39" s="4"/>
      <c r="I39" s="4"/>
      <c r="J39" s="4"/>
      <c r="K39" s="4"/>
      <c r="L39" s="21">
        <f>L35-L37</f>
        <v>63403.064944399986</v>
      </c>
      <c r="M39" s="4"/>
      <c r="N39" s="4"/>
      <c r="O39" s="4"/>
      <c r="P39" s="4"/>
      <c r="Q39" s="4"/>
      <c r="R39" s="4"/>
      <c r="S39" s="4"/>
      <c r="T39" s="4"/>
      <c r="U39" s="4"/>
      <c r="V39" s="4"/>
      <c r="W39" s="4"/>
      <c r="X39" s="4"/>
      <c r="Y39" s="4"/>
      <c r="Z39" s="4"/>
      <c r="AA39" s="4"/>
      <c r="AB39" s="4"/>
      <c r="AC39" s="4"/>
      <c r="AD39" s="4"/>
      <c r="AE39" s="4"/>
      <c r="AF39" s="4"/>
    </row>
    <row r="40" spans="1:32" x14ac:dyDescent="0.25">
      <c r="A40" s="17">
        <v>7</v>
      </c>
      <c r="B40" s="31" t="s">
        <v>38</v>
      </c>
      <c r="C40" s="13" t="s">
        <v>21</v>
      </c>
      <c r="D40" s="15">
        <v>1</v>
      </c>
      <c r="E40" s="13"/>
      <c r="F40" s="13"/>
      <c r="G40" s="24">
        <v>70</v>
      </c>
      <c r="H40" s="4"/>
      <c r="I40" s="4"/>
      <c r="J40" s="4"/>
      <c r="K40" s="4"/>
      <c r="L40" s="4"/>
      <c r="M40" s="4"/>
      <c r="N40" s="4"/>
      <c r="O40" s="4"/>
      <c r="P40" s="4"/>
      <c r="Q40" s="4"/>
      <c r="R40" s="4"/>
      <c r="S40" s="4"/>
      <c r="T40" s="4"/>
      <c r="U40" s="4"/>
      <c r="V40" s="4"/>
      <c r="W40" s="4"/>
      <c r="X40" s="4"/>
      <c r="Y40" s="4"/>
      <c r="Z40" s="4"/>
      <c r="AA40" s="4"/>
      <c r="AB40" s="4"/>
      <c r="AC40" s="4"/>
      <c r="AD40" s="4"/>
      <c r="AE40" s="4"/>
      <c r="AF40" s="4"/>
    </row>
    <row r="41" spans="1:32" x14ac:dyDescent="0.25">
      <c r="A41" s="17">
        <v>8</v>
      </c>
      <c r="B41" s="31" t="s">
        <v>39</v>
      </c>
      <c r="C41" s="13" t="s">
        <v>21</v>
      </c>
      <c r="D41" s="15">
        <v>1</v>
      </c>
      <c r="E41" s="13"/>
      <c r="F41" s="13"/>
      <c r="G41" s="24">
        <v>600</v>
      </c>
      <c r="H41" s="4"/>
      <c r="I41" s="4"/>
      <c r="J41" s="4"/>
      <c r="K41" s="4"/>
      <c r="L41" s="4"/>
      <c r="M41" s="4"/>
      <c r="N41" s="4"/>
      <c r="O41" s="4"/>
      <c r="P41" s="4"/>
      <c r="Q41" s="4"/>
      <c r="R41" s="4"/>
      <c r="S41" s="4"/>
      <c r="T41" s="4"/>
      <c r="U41" s="4"/>
      <c r="V41" s="4"/>
      <c r="W41" s="4"/>
      <c r="X41" s="4"/>
      <c r="Y41" s="4"/>
      <c r="Z41" s="4"/>
      <c r="AA41" s="4"/>
      <c r="AB41" s="4"/>
      <c r="AC41" s="4"/>
      <c r="AD41" s="4"/>
      <c r="AE41" s="4"/>
      <c r="AF41" s="4"/>
    </row>
    <row r="42" spans="1:32" x14ac:dyDescent="0.25">
      <c r="A42" s="17">
        <v>9</v>
      </c>
      <c r="B42" s="31" t="s">
        <v>40</v>
      </c>
      <c r="C42" s="13" t="s">
        <v>21</v>
      </c>
      <c r="D42" s="15">
        <v>1</v>
      </c>
      <c r="E42" s="13"/>
      <c r="F42" s="13"/>
      <c r="G42" s="24">
        <v>1350</v>
      </c>
      <c r="H42" s="4"/>
      <c r="I42" s="4"/>
      <c r="J42" s="4"/>
      <c r="K42" s="4"/>
      <c r="L42" s="4"/>
      <c r="M42" s="4"/>
      <c r="N42" s="4"/>
      <c r="O42" s="4"/>
      <c r="P42" s="4"/>
      <c r="Q42" s="4"/>
      <c r="R42" s="4"/>
      <c r="S42" s="4"/>
      <c r="T42" s="4"/>
      <c r="U42" s="4"/>
      <c r="V42" s="4"/>
      <c r="W42" s="4"/>
      <c r="X42" s="4"/>
      <c r="Y42" s="4"/>
      <c r="Z42" s="4"/>
      <c r="AA42" s="4"/>
      <c r="AB42" s="4"/>
      <c r="AC42" s="4"/>
      <c r="AD42" s="4"/>
      <c r="AE42" s="4"/>
      <c r="AF42" s="4"/>
    </row>
    <row r="43" spans="1:32" x14ac:dyDescent="0.25">
      <c r="A43" s="17">
        <v>10</v>
      </c>
      <c r="B43" s="31" t="s">
        <v>41</v>
      </c>
      <c r="C43" s="13" t="s">
        <v>21</v>
      </c>
      <c r="D43" s="15">
        <v>1</v>
      </c>
      <c r="E43" s="13"/>
      <c r="F43" s="13"/>
      <c r="G43" s="24">
        <v>1160</v>
      </c>
      <c r="H43" s="4"/>
      <c r="I43" s="4"/>
      <c r="J43" s="4"/>
      <c r="K43" s="4"/>
      <c r="L43" s="4"/>
      <c r="M43" s="4"/>
      <c r="N43" s="4"/>
      <c r="O43" s="4"/>
      <c r="P43" s="4"/>
      <c r="Q43" s="4"/>
      <c r="R43" s="4"/>
      <c r="S43" s="4"/>
      <c r="T43" s="4"/>
      <c r="U43" s="4"/>
      <c r="V43" s="4"/>
      <c r="W43" s="4"/>
      <c r="X43" s="4"/>
      <c r="Y43" s="4"/>
      <c r="Z43" s="4"/>
      <c r="AA43" s="4"/>
      <c r="AB43" s="4"/>
      <c r="AC43" s="4"/>
      <c r="AD43" s="4"/>
      <c r="AE43" s="4"/>
      <c r="AF43" s="4"/>
    </row>
    <row r="44" spans="1:32" x14ac:dyDescent="0.25">
      <c r="A44" s="17">
        <v>11</v>
      </c>
      <c r="B44" s="31" t="s">
        <v>42</v>
      </c>
      <c r="C44" s="13" t="s">
        <v>21</v>
      </c>
      <c r="D44" s="15">
        <v>1</v>
      </c>
      <c r="E44" s="13"/>
      <c r="F44" s="13"/>
      <c r="G44" s="24">
        <v>9500</v>
      </c>
      <c r="H44" s="4"/>
      <c r="I44" s="4"/>
      <c r="J44" s="4"/>
      <c r="K44" s="4"/>
      <c r="L44" s="4"/>
      <c r="M44" s="4"/>
      <c r="N44" s="4"/>
      <c r="O44" s="4"/>
      <c r="P44" s="4"/>
      <c r="Q44" s="4"/>
      <c r="R44" s="4"/>
      <c r="S44" s="4"/>
      <c r="T44" s="4"/>
      <c r="U44" s="4"/>
      <c r="V44" s="4"/>
      <c r="W44" s="4"/>
      <c r="X44" s="4"/>
      <c r="Y44" s="4"/>
      <c r="Z44" s="4"/>
      <c r="AA44" s="4"/>
      <c r="AB44" s="4"/>
      <c r="AC44" s="4"/>
      <c r="AD44" s="4"/>
      <c r="AE44" s="4"/>
      <c r="AF44" s="4"/>
    </row>
    <row r="45" spans="1:32" x14ac:dyDescent="0.25">
      <c r="A45" s="17">
        <v>12</v>
      </c>
      <c r="B45" s="31" t="s">
        <v>43</v>
      </c>
      <c r="C45" s="13" t="s">
        <v>21</v>
      </c>
      <c r="D45" s="15">
        <v>1</v>
      </c>
      <c r="E45" s="13"/>
      <c r="F45" s="13"/>
      <c r="G45" s="24">
        <v>1429.5125</v>
      </c>
      <c r="H45" s="4"/>
      <c r="I45" s="4"/>
      <c r="J45" s="4"/>
      <c r="K45" s="4"/>
      <c r="L45" s="4"/>
      <c r="M45" s="4"/>
      <c r="N45" s="4"/>
      <c r="O45" s="4"/>
      <c r="P45" s="4"/>
      <c r="Q45" s="4"/>
      <c r="R45" s="4"/>
      <c r="S45" s="4"/>
      <c r="T45" s="4"/>
      <c r="U45" s="4"/>
      <c r="V45" s="4"/>
      <c r="W45" s="4"/>
      <c r="X45" s="4"/>
      <c r="Y45" s="4"/>
      <c r="Z45" s="4"/>
      <c r="AA45" s="4"/>
      <c r="AB45" s="4"/>
      <c r="AC45" s="4"/>
      <c r="AD45" s="4"/>
      <c r="AE45" s="4"/>
      <c r="AF45" s="4"/>
    </row>
    <row r="46" spans="1:32" x14ac:dyDescent="0.25">
      <c r="A46" s="17">
        <v>13</v>
      </c>
      <c r="B46" s="31" t="s">
        <v>44</v>
      </c>
      <c r="C46" s="13" t="s">
        <v>21</v>
      </c>
      <c r="D46" s="15">
        <v>1</v>
      </c>
      <c r="E46" s="13"/>
      <c r="F46" s="13"/>
      <c r="G46" s="24">
        <v>2800</v>
      </c>
      <c r="H46" s="4"/>
      <c r="I46" s="4"/>
      <c r="J46" s="4"/>
      <c r="K46" s="4"/>
      <c r="L46" s="4"/>
      <c r="M46" s="4"/>
      <c r="N46" s="4"/>
      <c r="O46" s="4"/>
      <c r="P46" s="4"/>
      <c r="Q46" s="4"/>
      <c r="R46" s="4"/>
      <c r="S46" s="4"/>
      <c r="T46" s="4"/>
      <c r="U46" s="4"/>
      <c r="V46" s="4"/>
      <c r="W46" s="4"/>
      <c r="X46" s="4"/>
      <c r="Y46" s="4"/>
      <c r="Z46" s="4"/>
      <c r="AA46" s="4"/>
      <c r="AB46" s="4"/>
      <c r="AC46" s="4"/>
      <c r="AD46" s="4"/>
      <c r="AE46" s="4"/>
      <c r="AF46" s="4"/>
    </row>
    <row r="47" spans="1:32" x14ac:dyDescent="0.25">
      <c r="A47" s="4"/>
      <c r="B47" s="4"/>
      <c r="C47" s="4"/>
      <c r="D47" s="4"/>
      <c r="E47" s="4"/>
      <c r="F47" s="4" t="s">
        <v>3</v>
      </c>
      <c r="G47" s="42">
        <f>SUM(G34:G46)</f>
        <v>289937.27505559998</v>
      </c>
      <c r="H47" s="4"/>
      <c r="I47" s="4"/>
      <c r="J47" s="4"/>
      <c r="K47" s="4"/>
      <c r="L47" s="4"/>
      <c r="M47" s="4"/>
      <c r="N47" s="4"/>
      <c r="O47" s="4"/>
      <c r="P47" s="4"/>
      <c r="Q47" s="4"/>
      <c r="R47" s="4"/>
      <c r="S47" s="4"/>
      <c r="T47" s="4"/>
      <c r="U47" s="4"/>
      <c r="V47" s="4"/>
      <c r="W47" s="4"/>
      <c r="X47" s="4"/>
      <c r="Y47" s="4"/>
      <c r="Z47" s="4"/>
      <c r="AA47" s="4"/>
      <c r="AB47" s="4"/>
      <c r="AC47" s="4"/>
      <c r="AD47" s="4"/>
      <c r="AE47" s="4"/>
      <c r="AF47" s="4"/>
    </row>
    <row r="48" spans="1:32"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row>
    <row r="49" spans="1:32" x14ac:dyDescent="0.25">
      <c r="A49" s="4"/>
      <c r="B49" s="25"/>
      <c r="C49" s="4"/>
      <c r="D49" s="4"/>
      <c r="E49" s="4"/>
      <c r="F49" s="4"/>
      <c r="G49" s="26">
        <v>325024</v>
      </c>
      <c r="H49" s="4"/>
      <c r="I49" s="4"/>
      <c r="J49" s="4"/>
      <c r="K49" s="4"/>
      <c r="L49" s="4"/>
      <c r="M49" s="4"/>
      <c r="N49" s="4"/>
      <c r="O49" s="4"/>
      <c r="P49" s="4"/>
      <c r="Q49" s="4"/>
      <c r="R49" s="4"/>
      <c r="S49" s="4"/>
      <c r="T49" s="4"/>
      <c r="U49" s="4"/>
      <c r="V49" s="4"/>
      <c r="W49" s="4"/>
      <c r="X49" s="4"/>
      <c r="Y49" s="4"/>
      <c r="Z49" s="4"/>
      <c r="AA49" s="4"/>
      <c r="AB49" s="4"/>
      <c r="AC49" s="4"/>
      <c r="AD49" s="4"/>
      <c r="AE49" s="4"/>
      <c r="AF49" s="4"/>
    </row>
    <row r="50" spans="1:32"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row>
    <row r="51" spans="1:32"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row>
    <row r="52" spans="1:32"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row>
    <row r="53" spans="1:32" x14ac:dyDescent="0.25">
      <c r="A53" s="4"/>
      <c r="B53" s="4"/>
      <c r="C53" s="4"/>
      <c r="D53" s="4"/>
      <c r="E53" s="4"/>
      <c r="F53" s="35"/>
      <c r="G53" s="4"/>
      <c r="H53" s="4"/>
      <c r="I53" s="4"/>
      <c r="J53" s="4"/>
      <c r="K53" s="4"/>
      <c r="L53" s="35"/>
      <c r="M53" s="4"/>
      <c r="N53" s="4"/>
      <c r="O53" s="4"/>
      <c r="P53" s="4"/>
      <c r="Q53" s="4"/>
      <c r="R53" s="4"/>
      <c r="S53" s="4"/>
      <c r="T53" s="4"/>
      <c r="U53" s="4"/>
      <c r="V53" s="4"/>
      <c r="W53" s="4"/>
      <c r="X53" s="4"/>
      <c r="Y53" s="4"/>
      <c r="Z53" s="4"/>
      <c r="AA53" s="4"/>
      <c r="AB53" s="4"/>
      <c r="AC53" s="4"/>
      <c r="AD53" s="4"/>
      <c r="AE53" s="4"/>
      <c r="AF53" s="4"/>
    </row>
    <row r="54" spans="1:32" x14ac:dyDescent="0.25">
      <c r="F54" s="35"/>
      <c r="L54" s="35"/>
    </row>
    <row r="55" spans="1:32" x14ac:dyDescent="0.25">
      <c r="F55" s="35"/>
      <c r="L55" s="35"/>
    </row>
    <row r="56" spans="1:32" x14ac:dyDescent="0.25">
      <c r="F56" s="35"/>
      <c r="L56" s="35"/>
    </row>
    <row r="57" spans="1:32" x14ac:dyDescent="0.25">
      <c r="F57" s="35"/>
      <c r="L57" s="35"/>
    </row>
    <row r="58" spans="1:32" x14ac:dyDescent="0.25">
      <c r="F58" s="35"/>
    </row>
    <row r="59" spans="1:32" x14ac:dyDescent="0.25">
      <c r="F59" s="35"/>
    </row>
  </sheetData>
  <hyperlinks>
    <hyperlink ref="H2" r:id="rId1" xr:uid="{3D88C94C-3BB0-44A7-9912-A78DE4C724A2}"/>
    <hyperlink ref="H3" r:id="rId2" xr:uid="{E8A590C4-36F6-4677-96CF-6B73AE12D56D}"/>
    <hyperlink ref="H4" r:id="rId3" xr:uid="{3D39DFAB-B488-48EB-AFB7-88B9077A5D82}"/>
    <hyperlink ref="K4:M4" r:id="rId4" display="P3 NELO - POR - ORÇAMENTO 2" xr:uid="{5CEA4F3B-A29B-4826-8C58-0323F6B88AF1}"/>
    <hyperlink ref="N4:P4" r:id="rId5" display="P3 NELO - POR - ORÇAMENTO 3" xr:uid="{3540C84F-91BC-4658-BF89-803C68638965}"/>
    <hyperlink ref="H5" r:id="rId6" xr:uid="{19A54B49-39B0-4B5A-A727-08EAA79709F9}"/>
    <hyperlink ref="H6" r:id="rId7" xr:uid="{FEBCD497-B75E-45F6-9544-356C15BF3A5F}"/>
    <hyperlink ref="H7" r:id="rId8" xr:uid="{7C84B7D2-C9E5-49D9-80AA-473BDC6CF4FB}"/>
    <hyperlink ref="H8" r:id="rId9" xr:uid="{A12F20AF-E2B7-4FCD-BA36-D03C3A11BE67}"/>
    <hyperlink ref="S2" r:id="rId10" xr:uid="{AF57D3EE-2BD0-4857-AB06-257C29B11C19}"/>
    <hyperlink ref="V2" r:id="rId11" xr:uid="{65127B71-F129-4E69-ADCD-CCA268AC42B2}"/>
    <hyperlink ref="S3" r:id="rId12" xr:uid="{EE117640-43A3-4044-8C6B-49464408D489}"/>
    <hyperlink ref="V3" r:id="rId13" xr:uid="{A9C36BEA-FC80-4E7A-8BE5-C3FFC91EC71B}"/>
    <hyperlink ref="S4" r:id="rId14" xr:uid="{A7CDF5EC-169E-4F19-8289-CB6EEE477666}"/>
    <hyperlink ref="S5:V5" r:id="rId15" display="P11 PERNAMBUCO FIBRAS-BRA - ORÇAMENTO 1     " xr:uid="{FD323E27-D3C9-4A51-B82D-EF4C36801764}"/>
    <hyperlink ref="W5" r:id="rId16" xr:uid="{876D58C8-7209-488C-A229-BEF71E21B725}"/>
    <hyperlink ref="S6" r:id="rId17" xr:uid="{6A2E158B-58A5-456A-8B74-88810BBF7C79}"/>
  </hyperlinks>
  <pageMargins left="0.511811024" right="0.511811024" top="0.78740157499999996" bottom="0.78740157499999996" header="0.31496062000000002" footer="0.31496062000000002"/>
  <pageSetup paperSize="9" orientation="landscape" horizontalDpi="0" verticalDpi="0" r:id="rId18"/>
  <drawing r:id="rId19"/>
  <legacyDrawing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7BE5E-1AC3-4DFA-A8A0-A9CC6ACE4CDF}">
  <dimension ref="A1:J8"/>
  <sheetViews>
    <sheetView zoomScale="80" zoomScaleNormal="80" workbookViewId="0">
      <selection activeCell="E4" sqref="E4"/>
    </sheetView>
  </sheetViews>
  <sheetFormatPr defaultRowHeight="15" x14ac:dyDescent="0.25"/>
  <cols>
    <col min="2" max="2" width="5.28515625" customWidth="1"/>
    <col min="3" max="3" width="44.7109375" customWidth="1"/>
    <col min="4" max="4" width="7.140625" customWidth="1"/>
    <col min="5" max="5" width="12.85546875" customWidth="1"/>
    <col min="6" max="6" width="12.140625" customWidth="1"/>
    <col min="7" max="7" width="13.5703125" customWidth="1"/>
    <col min="8" max="9" width="12.5703125" customWidth="1"/>
    <col min="10" max="10" width="13.5703125" customWidth="1"/>
  </cols>
  <sheetData>
    <row r="1" spans="1:10" x14ac:dyDescent="0.25">
      <c r="E1" s="35" t="s">
        <v>97</v>
      </c>
    </row>
    <row r="2" spans="1:10" x14ac:dyDescent="0.25">
      <c r="E2" s="36" t="s">
        <v>98</v>
      </c>
    </row>
    <row r="3" spans="1:10" x14ac:dyDescent="0.25">
      <c r="E3" s="36" t="s">
        <v>99</v>
      </c>
      <c r="H3" s="36" t="s">
        <v>100</v>
      </c>
      <c r="I3" s="36"/>
    </row>
    <row r="4" spans="1:10" x14ac:dyDescent="0.25">
      <c r="E4" s="36" t="s">
        <v>101</v>
      </c>
    </row>
    <row r="6" spans="1:10" x14ac:dyDescent="0.25">
      <c r="A6" s="2" t="s">
        <v>75</v>
      </c>
      <c r="B6" s="2" t="s">
        <v>1</v>
      </c>
      <c r="C6" s="2" t="s">
        <v>0</v>
      </c>
      <c r="D6" s="2" t="s">
        <v>2</v>
      </c>
      <c r="E6" s="2" t="s">
        <v>55</v>
      </c>
      <c r="F6" s="2" t="s">
        <v>56</v>
      </c>
      <c r="G6" s="2" t="s">
        <v>57</v>
      </c>
      <c r="H6" s="29" t="s">
        <v>54</v>
      </c>
      <c r="I6" s="3" t="s">
        <v>73</v>
      </c>
      <c r="J6" s="3" t="s">
        <v>74</v>
      </c>
    </row>
    <row r="7" spans="1:10" ht="391.5" customHeight="1" x14ac:dyDescent="0.25">
      <c r="A7" s="5" t="s">
        <v>76</v>
      </c>
      <c r="B7" s="5">
        <v>1</v>
      </c>
      <c r="C7" s="34" t="s">
        <v>72</v>
      </c>
      <c r="D7" s="5">
        <v>1</v>
      </c>
      <c r="E7" s="19">
        <v>375600</v>
      </c>
      <c r="F7" s="19">
        <v>391000</v>
      </c>
      <c r="G7" s="19">
        <v>500000</v>
      </c>
      <c r="H7" s="20">
        <v>375600</v>
      </c>
      <c r="I7" s="30">
        <v>359100</v>
      </c>
      <c r="J7" s="41">
        <f>I7-H7</f>
        <v>-16500</v>
      </c>
    </row>
    <row r="8" spans="1:10" ht="83.25" customHeight="1" x14ac:dyDescent="0.25"/>
  </sheetData>
  <hyperlinks>
    <hyperlink ref="E2" r:id="rId1" display="P1 - VOLARE - https://www.volare.com.br/" xr:uid="{538199B5-3D9D-470C-9BB1-E1E82A1C9AD8}"/>
    <hyperlink ref="E3" r:id="rId2" xr:uid="{53B7650E-0F16-400D-84ED-35F0472287B1}"/>
    <hyperlink ref="E4" r:id="rId3" xr:uid="{A9DBCD1D-0945-4E65-805C-CBE1DF4863E7}"/>
    <hyperlink ref="H3" r:id="rId4" xr:uid="{463E8CC1-28A8-43B3-BBE5-9FD509569A59}"/>
  </hyperlinks>
  <pageMargins left="0.511811024" right="0.511811024" top="0.78740157499999996" bottom="0.78740157499999996" header="0.31496062000000002" footer="0.31496062000000002"/>
  <pageSetup paperSize="9" orientation="landscape" horizontalDpi="0" verticalDpi="0" r:id="rId5"/>
  <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97452-CE02-4E2F-B958-F00B5111A44C}">
  <dimension ref="A1:K7"/>
  <sheetViews>
    <sheetView topLeftCell="A8" workbookViewId="0">
      <selection activeCell="E3" sqref="E3"/>
    </sheetView>
  </sheetViews>
  <sheetFormatPr defaultRowHeight="15" x14ac:dyDescent="0.25"/>
  <cols>
    <col min="1" max="1" width="7" customWidth="1"/>
    <col min="2" max="2" width="6.7109375" customWidth="1"/>
    <col min="3" max="3" width="33.140625" customWidth="1"/>
    <col min="4" max="4" width="8.42578125" customWidth="1"/>
    <col min="5" max="5" width="11.42578125" customWidth="1"/>
    <col min="6" max="6" width="11.140625" customWidth="1"/>
    <col min="7" max="7" width="10.5703125" customWidth="1"/>
    <col min="8" max="8" width="11.28515625" customWidth="1"/>
    <col min="9" max="9" width="11" customWidth="1"/>
    <col min="10" max="10" width="11.7109375" customWidth="1"/>
    <col min="11" max="11" width="11" customWidth="1"/>
  </cols>
  <sheetData>
    <row r="1" spans="1:11" x14ac:dyDescent="0.25">
      <c r="E1" s="36" t="s">
        <v>102</v>
      </c>
    </row>
    <row r="2" spans="1:11" x14ac:dyDescent="0.25">
      <c r="E2" s="36" t="s">
        <v>103</v>
      </c>
    </row>
    <row r="3" spans="1:11" x14ac:dyDescent="0.25">
      <c r="E3" s="36" t="s">
        <v>104</v>
      </c>
    </row>
    <row r="4" spans="1:11" x14ac:dyDescent="0.25">
      <c r="E4" s="36" t="s">
        <v>105</v>
      </c>
    </row>
    <row r="6" spans="1:11" x14ac:dyDescent="0.25">
      <c r="A6" s="2" t="s">
        <v>75</v>
      </c>
      <c r="B6" s="2" t="s">
        <v>1</v>
      </c>
      <c r="C6" s="2" t="s">
        <v>0</v>
      </c>
      <c r="D6" s="2" t="s">
        <v>2</v>
      </c>
      <c r="E6" s="2" t="s">
        <v>55</v>
      </c>
      <c r="F6" s="2" t="s">
        <v>56</v>
      </c>
      <c r="G6" s="2" t="s">
        <v>57</v>
      </c>
      <c r="H6" s="2" t="s">
        <v>58</v>
      </c>
      <c r="I6" s="29" t="s">
        <v>54</v>
      </c>
      <c r="J6" s="3" t="s">
        <v>73</v>
      </c>
      <c r="K6" s="3" t="s">
        <v>74</v>
      </c>
    </row>
    <row r="7" spans="1:11" ht="271.5" customHeight="1" x14ac:dyDescent="0.25">
      <c r="A7" s="5" t="s">
        <v>77</v>
      </c>
      <c r="B7" s="5">
        <v>1</v>
      </c>
      <c r="C7" s="34" t="s">
        <v>79</v>
      </c>
      <c r="D7" s="5" t="s">
        <v>78</v>
      </c>
      <c r="E7" s="19">
        <v>29059.55</v>
      </c>
      <c r="F7" s="19">
        <v>37550</v>
      </c>
      <c r="G7" s="19">
        <v>32000</v>
      </c>
      <c r="H7" s="19">
        <v>46157.38</v>
      </c>
      <c r="I7" s="20">
        <v>29059.55</v>
      </c>
      <c r="J7" s="30">
        <v>19000</v>
      </c>
      <c r="K7" s="41">
        <f>J7-I7</f>
        <v>-10059.549999999999</v>
      </c>
    </row>
  </sheetData>
  <hyperlinks>
    <hyperlink ref="E1" r:id="rId1" xr:uid="{CCF20830-C7C6-4E04-BF89-606E145645A0}"/>
    <hyperlink ref="E2" r:id="rId2" xr:uid="{0F840560-8C57-427B-8C86-31EA00FC5509}"/>
    <hyperlink ref="E3" r:id="rId3" xr:uid="{2A2754B9-DB4F-4BE7-9933-8C53A2C3C38A}"/>
    <hyperlink ref="E4" r:id="rId4" xr:uid="{4CA0C6E8-3771-4426-8B65-AF6415DF3568}"/>
  </hyperlinks>
  <pageMargins left="0.511811024" right="0.511811024" top="0.78740157499999996" bottom="0.78740157499999996" header="0.31496062000000002" footer="0.31496062000000002"/>
  <pageSetup paperSize="9" orientation="landscape" horizontalDpi="4294967292" verticalDpi="0" r:id="rId5"/>
  <drawing r:id="rId6"/>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2</vt:i4>
      </vt:variant>
    </vt:vector>
  </HeadingPairs>
  <TitlesOfParts>
    <vt:vector size="5" baseType="lpstr">
      <vt:lpstr>EQUIPAMENTOS</vt:lpstr>
      <vt:lpstr>BUS</vt:lpstr>
      <vt:lpstr>PIER</vt:lpstr>
      <vt:lpstr>BUS!Area_de_impressao</vt:lpstr>
      <vt:lpstr>EQUIPAMENTOS!Area_de_impressao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argos.rodrigues</dc:creator>
  <cp:lastModifiedBy>argos.rodrigues</cp:lastModifiedBy>
  <cp:lastPrinted>2018-12-17T13:15:24Z</cp:lastPrinted>
  <dcterms:created xsi:type="dcterms:W3CDTF">2018-11-07T16:39:26Z</dcterms:created>
  <dcterms:modified xsi:type="dcterms:W3CDTF">2018-12-17T13:27:12Z</dcterms:modified>
</cp:coreProperties>
</file>